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09EB714B-B7D8-44EE-8CFB-5AA38323C8A4}" xr6:coauthVersionLast="47" xr6:coauthVersionMax="47" xr10:uidLastSave="{00000000-0000-0000-0000-000000000000}"/>
  <workbookProtection workbookAlgorithmName="SHA-512" workbookHashValue="pza9ahR88K30jeGcrSsT6lEnsufBbqukBMWOy7c8a8Q/sdQzJ2dYufK2nTDucPmn39ds8ZYtzHHdKPdmNRlcQw==" workbookSaltValue="Wl8FmvHcfI8GrVaaXiHwuw==" workbookSpinCount="100000" lockStructure="1"/>
  <bookViews>
    <workbookView xWindow="28680" yWindow="-120" windowWidth="29040" windowHeight="15720" xr2:uid="{5E666503-2E05-4B9A-92B1-1D87DA92E939}"/>
  </bookViews>
  <sheets>
    <sheet name="REPORTING FORM" sheetId="1" r:id="rId1"/>
    <sheet name="Sales Amount" sheetId="8" r:id="rId2"/>
    <sheet name="DGR" sheetId="10" state="hidden" r:id="rId3"/>
    <sheet name="Reference" sheetId="5" state="hidden" r:id="rId4"/>
    <sheet name="Delcared Use_HST" sheetId="6" state="hidden" r:id="rId5"/>
  </sheets>
  <definedNames>
    <definedName name="HelperTable">DGR!$A$17:$B$20</definedName>
    <definedName name="SelectedRange">VLOOKUP('REPORTING FORM'!A1048564, HelperTable, 2, FALSE)</definedName>
    <definedName name="TIPBlue">DGR!$B$5:$B$7</definedName>
    <definedName name="TIPGreen">DGR!$B$2</definedName>
    <definedName name="TIPOrange">DGR!$B$3:$B$4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 a="1"/>
  <c r="H21" i="1" s="1"/>
  <c r="H23" i="1" s="1"/>
  <c r="G21" i="1" a="1"/>
  <c r="G21" i="1" s="1"/>
  <c r="A23" i="10" l="1"/>
  <c r="D2" i="10"/>
  <c r="G18" i="1"/>
  <c r="D4" i="10"/>
  <c r="D1" i="10"/>
  <c r="E8" i="1" a="1"/>
  <c r="E8" i="1" l="1"/>
  <c r="AI2" i="10" a="1"/>
  <c r="AI2" i="10" s="1"/>
  <c r="X2" i="10" a="1"/>
  <c r="X2" i="10" s="1"/>
  <c r="J56" i="8"/>
  <c r="K56" i="8" s="1"/>
  <c r="J57" i="8"/>
  <c r="K57" i="8" s="1"/>
  <c r="J58" i="8"/>
  <c r="K58" i="8" s="1"/>
  <c r="J59" i="8"/>
  <c r="K59" i="8" s="1"/>
  <c r="J60" i="8"/>
  <c r="K60" i="8" s="1"/>
  <c r="J61" i="8"/>
  <c r="K61" i="8" s="1"/>
  <c r="J62" i="8"/>
  <c r="K62" i="8" s="1"/>
  <c r="I63" i="8"/>
  <c r="J30" i="8"/>
  <c r="K30" i="8" s="1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F20" i="8"/>
  <c r="J29" i="8"/>
  <c r="C2" i="8"/>
  <c r="C4" i="8"/>
  <c r="J41" i="8"/>
  <c r="K41" i="8" s="1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D27" i="1"/>
  <c r="D28" i="1"/>
  <c r="AO2" i="10" l="1" a="1"/>
  <c r="AO2" i="10" s="1"/>
  <c r="AT2" i="10" a="1"/>
  <c r="AT2" i="10" s="1"/>
  <c r="J63" i="8"/>
  <c r="D30" i="1"/>
  <c r="K29" i="8"/>
  <c r="J34" i="1"/>
  <c r="K63" i="8" l="1"/>
  <c r="D18" i="1" s="1"/>
  <c r="H16" i="1" s="1"/>
  <c r="I7" i="1"/>
  <c r="G29" i="1"/>
  <c r="G28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" i="5" l="1"/>
  <c r="D17" i="1" l="1"/>
  <c r="H15" i="1" s="1"/>
  <c r="H19" i="1" s="1"/>
  <c r="D20" i="1" l="1"/>
  <c r="H26" i="1" l="1"/>
  <c r="H28" i="1" l="1"/>
  <c r="H30" i="1"/>
  <c r="H3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<sst xmlns="http://schemas.openxmlformats.org/spreadsheetml/2006/main" count="257" uniqueCount="218">
  <si>
    <t>ACTRA-PRS</t>
  </si>
  <si>
    <t>Production Year</t>
  </si>
  <si>
    <t>Corresponding DGR Participation (%):</t>
  </si>
  <si>
    <t>Distributor(s) / License Agreements</t>
  </si>
  <si>
    <t>Territory</t>
  </si>
  <si>
    <t>All Sales</t>
  </si>
  <si>
    <t>Total this Report:</t>
  </si>
  <si>
    <t>1% Administration Fee</t>
  </si>
  <si>
    <t>(1% of Total Payable to ACTRA PRS)</t>
  </si>
  <si>
    <t>Subtotal</t>
  </si>
  <si>
    <t>Total Payable to ACTRA Performers' Rights Society</t>
  </si>
  <si>
    <t>IPATerm</t>
  </si>
  <si>
    <t>UseFee</t>
  </si>
  <si>
    <t>DGR</t>
  </si>
  <si>
    <t>IPA 1995 - 1998</t>
  </si>
  <si>
    <t>100% Advance</t>
  </si>
  <si>
    <t>75% Advance</t>
  </si>
  <si>
    <t>50% Advance</t>
  </si>
  <si>
    <t>25% Advance</t>
  </si>
  <si>
    <t>0% Advance</t>
  </si>
  <si>
    <t>0% Advance - Super Low Budget</t>
  </si>
  <si>
    <t>135% PrePayment | All Use Including New Media</t>
  </si>
  <si>
    <t>130% Conventional | Excluding New Media</t>
  </si>
  <si>
    <t>110% PrePayment | All Use Including New Media</t>
  </si>
  <si>
    <t>105% Conventional | Excluding New Media</t>
  </si>
  <si>
    <t>1995-1998</t>
  </si>
  <si>
    <t>1999-2001</t>
  </si>
  <si>
    <t>2002-2003</t>
  </si>
  <si>
    <t>2004-2006</t>
  </si>
  <si>
    <t>2007-2009</t>
  </si>
  <si>
    <t>2010-2012</t>
  </si>
  <si>
    <t>2013-2015</t>
  </si>
  <si>
    <t>2016-2018</t>
  </si>
  <si>
    <t>2019-2021</t>
  </si>
  <si>
    <t>2022-2024</t>
  </si>
  <si>
    <t>1995-1998-100% Advance</t>
  </si>
  <si>
    <t>1995-1998-75% Advance</t>
  </si>
  <si>
    <t>1995-1998-50% Advance</t>
  </si>
  <si>
    <t>1995-1998-25% Advance</t>
  </si>
  <si>
    <t>1995-1998-0% Advance</t>
  </si>
  <si>
    <t>1995-1998-0% Advance - Super Low Budget</t>
  </si>
  <si>
    <t>1999-2001-100% Advance</t>
  </si>
  <si>
    <t>1999-2001-75% Advance</t>
  </si>
  <si>
    <t>1999-2001-50% Advance</t>
  </si>
  <si>
    <t>1999-2001-25% Advance</t>
  </si>
  <si>
    <t>1999-2001-0% Advance</t>
  </si>
  <si>
    <t>1999-2001-0% Advance - Super Low Budget</t>
  </si>
  <si>
    <t>2002-2003-100% Advance</t>
  </si>
  <si>
    <t>2002-2003-75% Advance</t>
  </si>
  <si>
    <t>2002-2003-50% Advance</t>
  </si>
  <si>
    <t>2002-2003-25% Advance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</si>
  <si>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</si>
  <si>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</si>
  <si>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</si>
  <si>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</si>
  <si>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</si>
  <si>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</si>
  <si>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</si>
  <si>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</si>
  <si>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</si>
  <si>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</si>
  <si>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</si>
  <si>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</si>
  <si>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</si>
  <si>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</si>
  <si>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</si>
  <si>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</si>
  <si>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</si>
  <si>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</si>
  <si>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</si>
  <si>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</si>
  <si>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</si>
  <si>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</si>
  <si>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</si>
  <si>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</si>
  <si>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</si>
  <si>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</si>
  <si>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</si>
  <si>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</si>
  <si>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</si>
  <si>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</si>
  <si>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</si>
  <si>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</si>
  <si>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</si>
  <si>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</si>
  <si>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</si>
  <si>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</si>
  <si>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</si>
  <si>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</si>
  <si>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</si>
  <si>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</si>
  <si>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</si>
  <si>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</si>
  <si>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</si>
  <si>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</si>
  <si>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</si>
  <si>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</si>
  <si>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</si>
  <si>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</si>
  <si>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</si>
  <si>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</si>
  <si>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</si>
  <si>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</si>
  <si>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</si>
  <si>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</si>
  <si>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</si>
  <si>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</si>
  <si>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</si>
  <si>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Theatrical</t>
  </si>
  <si>
    <t>Alberta</t>
  </si>
  <si>
    <t>Nunavut</t>
  </si>
  <si>
    <t>Northwest Territories</t>
  </si>
  <si>
    <t>Pay Television</t>
  </si>
  <si>
    <t>Combined Rate</t>
  </si>
  <si>
    <t>GST / HST</t>
  </si>
  <si>
    <t>Provincial /</t>
  </si>
  <si>
    <t>Territorial</t>
  </si>
  <si>
    <t>Nil</t>
  </si>
  <si>
    <t>5% HST</t>
  </si>
  <si>
    <t>Yukon</t>
  </si>
  <si>
    <t>Saskatchewan</t>
  </si>
  <si>
    <t>British Columbia</t>
  </si>
  <si>
    <t>Manitoba</t>
  </si>
  <si>
    <t>5% GST</t>
  </si>
  <si>
    <t>Ontario</t>
  </si>
  <si>
    <t>N/A</t>
  </si>
  <si>
    <t>13% HST</t>
  </si>
  <si>
    <t>Quebec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</si>
  <si>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</si>
  <si>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</si>
  <si>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</si>
  <si>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</si>
  <si>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</si>
  <si>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</si>
  <si>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</si>
  <si>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Worldwide theatrical Use for period of copyright of the Production</t>
  </si>
  <si>
    <t>Free Television</t>
  </si>
  <si>
    <t>One (1) domestic run in Canada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</si>
  <si>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</si>
  <si>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</si>
  <si>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</si>
  <si>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</si>
  <si>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</si>
  <si>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</si>
  <si>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</si>
  <si>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</si>
  <si>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</si>
  <si>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DO NOT TOUCH CELL E1 and F1</t>
  </si>
  <si>
    <t>Click here for prime rates.</t>
  </si>
  <si>
    <t>Late Payment Calculation: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</si>
  <si>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</si>
  <si>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CAD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</si>
  <si>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</si>
  <si>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Prime Rate:</t>
  </si>
  <si>
    <t>Interest Rate (P + 3%)</t>
  </si>
  <si>
    <t>Reporting Due Date:</t>
  </si>
  <si>
    <t>Distributor</t>
  </si>
  <si>
    <t>Media Market</t>
  </si>
  <si>
    <r>
      <t xml:space="preserve">Agreement Type </t>
    </r>
    <r>
      <rPr>
        <b/>
        <u/>
        <sz val="11"/>
        <color rgb="FFFF0000"/>
        <rFont val="Aptos Narrow"/>
        <family val="2"/>
        <scheme val="minor"/>
      </rPr>
      <t>(please choose)</t>
    </r>
    <r>
      <rPr>
        <b/>
        <u/>
        <sz val="11"/>
        <color theme="1"/>
        <rFont val="Aptos Narrow"/>
        <family val="2"/>
        <scheme val="minor"/>
      </rPr>
      <t>:</t>
    </r>
  </si>
  <si>
    <t>Value</t>
  </si>
  <si>
    <t>Agreement Currency</t>
  </si>
  <si>
    <t>CAD Amount</t>
  </si>
  <si>
    <t>Previously paid amount:</t>
  </si>
  <si>
    <t>For the period ending:</t>
  </si>
  <si>
    <t>Production Title:</t>
  </si>
  <si>
    <t>Total:</t>
  </si>
  <si>
    <t>Distributor Reported Currency</t>
  </si>
  <si>
    <t>Current Reporting Period</t>
  </si>
  <si>
    <t>Triggers Use Fees</t>
  </si>
  <si>
    <t>Total Tax Credit and Funding:</t>
  </si>
  <si>
    <t>Totals:</t>
  </si>
  <si>
    <t>AGREEMENTS</t>
  </si>
  <si>
    <t>Total Agreements</t>
  </si>
  <si>
    <t>(Does not include Distributor Advances)</t>
  </si>
  <si>
    <t>Cumulative Balance</t>
  </si>
  <si>
    <t>ADDITIONAL GROSS SALES</t>
  </si>
  <si>
    <t>Total Additional Gross Sales</t>
  </si>
  <si>
    <t>DGR % of Total Agreements</t>
  </si>
  <si>
    <t>DGR % of Total Additional Gross Sales</t>
  </si>
  <si>
    <t>(Copy previous cumulative balance, excluding first-time reports)</t>
  </si>
  <si>
    <t>Current Exchange Rate to CAD if Foreign Currency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</si>
  <si>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</si>
  <si>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</si>
  <si>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</si>
  <si>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(Input "1.00" if it is in CAD)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</si>
  <si>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 and Amounts, Agreement Details)</t>
    </r>
    <r>
      <rPr>
        <b/>
        <sz val="11"/>
        <color theme="1"/>
        <rFont val="Aptos Narrow"/>
        <family val="2"/>
        <scheme val="minor"/>
      </rPr>
      <t>:</t>
    </r>
  </si>
  <si>
    <t>TIP 2002 - 2014</t>
  </si>
  <si>
    <t>All Use</t>
  </si>
  <si>
    <t>TIP 2015 - 2017</t>
  </si>
  <si>
    <t>Feature Films</t>
  </si>
  <si>
    <t>Theatrical, Pay TV, Basic Cable, Free TV and Ancillary revenue</t>
  </si>
  <si>
    <t>TIP 2018 - 2020 - Class I</t>
  </si>
  <si>
    <t>TIP 2018 - 2020 - Class II, III &amp; IV</t>
  </si>
  <si>
    <t>TIP 2015 - 2017-Theatrical, Pay TV, Basic Cable, Free TV and Ancillary revenue</t>
  </si>
  <si>
    <t>TIP 2018 - 2020 - Class I-Feature Films</t>
  </si>
  <si>
    <t>TIP 2018 - 2020 - Class II, III &amp; IV-All Use</t>
  </si>
  <si>
    <t>TIP 2018 - 2020 - Class II, III &amp; IV-Feature Films</t>
  </si>
  <si>
    <t>Theatrical, Pay TV, Basic Cable, Free TV, Ditigal Media and Ancillary revenue</t>
  </si>
  <si>
    <t>TIPGreen</t>
  </si>
  <si>
    <t>TIPOrange</t>
  </si>
  <si>
    <t>TIPBlue</t>
  </si>
  <si>
    <t>TIP 2018 - 2020 - Class I-Theatrical, Pay TV, Basic Cable, Free TV, Ditigal Media and Ancillary revenue</t>
  </si>
  <si>
    <t>TIP 2018 - 2020 - Class II, III &amp; IV-Theatrical, Pay TV, Basic Cable, Free TV, Ditigal Media and Ancillary revenue</t>
  </si>
  <si>
    <t>Theatrical worldwide for one (1) year from first Theatrical Use</t>
  </si>
  <si>
    <t>Total Sales:</t>
  </si>
  <si>
    <t>ACTRA Indie Production (AIP)</t>
  </si>
  <si>
    <t>AIP Production Title:</t>
  </si>
  <si>
    <r>
      <t xml:space="preserve">AIP Use </t>
    </r>
    <r>
      <rPr>
        <b/>
        <sz val="11"/>
        <color rgb="FFFF0000"/>
        <rFont val="Aptos Narrow"/>
        <family val="2"/>
        <scheme val="minor"/>
      </rPr>
      <t>(please enter)</t>
    </r>
    <r>
      <rPr>
        <b/>
        <sz val="11"/>
        <color theme="1"/>
        <rFont val="Aptos Narrow"/>
        <family val="2"/>
        <scheme val="minor"/>
      </rPr>
      <t>:</t>
    </r>
  </si>
  <si>
    <t>5% GST + 6% QST</t>
  </si>
  <si>
    <t>5% GST + 7% QST</t>
  </si>
  <si>
    <t>5% GST + 9.975% QST</t>
  </si>
  <si>
    <t>Months Late</t>
  </si>
  <si>
    <t>(Please enter sales in Sales Amount sheet)</t>
  </si>
  <si>
    <t>Current Use Within Prepayment/Declared Use (Buyout)</t>
  </si>
  <si>
    <t>Current Sales Less Buyout</t>
  </si>
  <si>
    <t>Last Reported Cumulative</t>
  </si>
  <si>
    <r>
      <t xml:space="preserve">Total Sales Amount </t>
    </r>
    <r>
      <rPr>
        <b/>
        <sz val="11"/>
        <color rgb="FFFF0000"/>
        <rFont val="Aptos Narrow"/>
        <family val="2"/>
        <scheme val="minor"/>
      </rPr>
      <t>(amount before allocation in contract currency)</t>
    </r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</si>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</sst>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[$-F800]dddd\,\ mmmm\ dd\,\ yyyy"/>
    <numFmt numFmtId="168" formatCode="0.000%"/>
    <numFmt numFmtId="169" formatCode="0.0000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sz val="10"/>
      <color theme="1"/>
      <name val="Arial Unicode MS"/>
    </font>
    <font>
      <b/>
      <sz val="11"/>
      <color theme="0" tint="-0.34998626667073579"/>
      <name val="Aptos Display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7" fillId="0" borderId="0" xfId="3"/>
    <xf numFmtId="10" fontId="7" fillId="0" borderId="0" xfId="3" applyNumberFormat="1"/>
    <xf numFmtId="0" fontId="7" fillId="0" borderId="1" xfId="3" applyBorder="1"/>
    <xf numFmtId="0" fontId="7" fillId="3" borderId="0" xfId="3" applyFill="1"/>
    <xf numFmtId="166" fontId="0" fillId="3" borderId="0" xfId="4" applyNumberFormat="1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9" fontId="0" fillId="4" borderId="0" xfId="2" applyFont="1" applyFill="1"/>
    <xf numFmtId="9" fontId="0" fillId="5" borderId="0" xfId="2" applyFont="1" applyFill="1"/>
    <xf numFmtId="9" fontId="0" fillId="6" borderId="0" xfId="2" applyFont="1" applyFill="1"/>
    <xf numFmtId="0" fontId="4" fillId="4" borderId="0" xfId="0" applyFont="1" applyFill="1"/>
    <xf numFmtId="0" fontId="0" fillId="2" borderId="0" xfId="0" applyFill="1"/>
    <xf numFmtId="0" fontId="5" fillId="2" borderId="0" xfId="0" applyFont="1" applyFill="1"/>
    <xf numFmtId="168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locked="0" hidden="1"/>
    </xf>
    <xf numFmtId="167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3" fillId="0" borderId="6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19" fillId="0" borderId="0" xfId="5" applyFont="1" applyBorder="1" applyAlignment="1" applyProtection="1">
      <alignment vertical="top"/>
      <protection locked="0" hidden="1"/>
    </xf>
    <xf numFmtId="0" fontId="18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7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0" fontId="8" fillId="0" borderId="0" xfId="3" applyFont="1"/>
    <xf numFmtId="9" fontId="8" fillId="0" borderId="0" xfId="4" applyFont="1" applyFill="1"/>
    <xf numFmtId="166" fontId="8" fillId="0" borderId="0" xfId="4" applyNumberFormat="1" applyFont="1" applyFill="1"/>
    <xf numFmtId="0" fontId="7" fillId="4" borderId="0" xfId="3" applyFill="1"/>
    <xf numFmtId="10" fontId="7" fillId="4" borderId="0" xfId="3" applyNumberFormat="1" applyFill="1"/>
    <xf numFmtId="166" fontId="0" fillId="4" borderId="0" xfId="4" applyNumberFormat="1" applyFont="1" applyFill="1"/>
    <xf numFmtId="9" fontId="7" fillId="3" borderId="0" xfId="4" applyFont="1" applyFill="1"/>
    <xf numFmtId="0" fontId="7" fillId="7" borderId="0" xfId="3" applyFill="1"/>
    <xf numFmtId="9" fontId="7" fillId="7" borderId="0" xfId="4" applyFont="1" applyFill="1"/>
    <xf numFmtId="166" fontId="0" fillId="7" borderId="0" xfId="4" applyNumberFormat="1" applyFont="1" applyFill="1"/>
    <xf numFmtId="0" fontId="0" fillId="0" borderId="0" xfId="0" applyAlignment="1">
      <alignment vertical="center" wrapText="1"/>
    </xf>
    <xf numFmtId="0" fontId="24" fillId="0" borderId="0" xfId="0" applyFont="1" applyAlignment="1">
      <alignment vertical="center"/>
    </xf>
    <xf numFmtId="9" fontId="0" fillId="0" borderId="0" xfId="2" applyFont="1" applyFill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169" fontId="0" fillId="0" borderId="1" xfId="0" applyNumberFormat="1" applyBorder="1" applyAlignment="1" applyProtection="1">
      <alignment wrapText="1"/>
      <protection locked="0"/>
    </xf>
    <xf numFmtId="166" fontId="0" fillId="0" borderId="0" xfId="2" applyNumberFormat="1" applyFont="1" applyFill="1" applyAlignment="1" applyProtection="1">
      <alignment horizontal="center" vertical="center"/>
      <protection hidden="1"/>
    </xf>
    <xf numFmtId="167" fontId="3" fillId="0" borderId="0" xfId="0" applyNumberFormat="1" applyFont="1" applyProtection="1">
      <protection locked="0" hidden="1"/>
    </xf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center" vertical="center"/>
      <protection locked="0" hidden="1"/>
    </xf>
  </cellXfs>
  <cellStyles count="7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Percent" xfId="2" builtinId="5"/>
    <cellStyle name="Percent 2" xfId="4" xr:uid="{4FD868A3-CF3B-4C10-A45E-45A19CFFE902}"/>
  </cellStyles>
  <dxfs count="6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b/>
        <i val="0"/>
        <strike val="0"/>
        <color auto="1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0.00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0:G19" headerRowCount="0" totalsRowShown="0" headerRowDxfId="59" dataDxfId="57" headerRowBorderDxfId="58" tableBorderDxfId="56" totalsRowBorderDxfId="55">
  <tableColumns count="6">
    <tableColumn id="1" xr3:uid="{7A0E1F8E-FCC7-46AC-BDEA-05E36E0189D5}" name="Column1" headerRowDxfId="54" dataDxfId="53"/>
    <tableColumn id="2" xr3:uid="{850EEA6C-9CA4-4BDA-A356-618D2E3803D8}" name="Column2" headerRowDxfId="52" dataDxfId="51"/>
    <tableColumn id="3" xr3:uid="{E108C951-AB57-4E1C-908D-3F110D7AC7B7}" name="Column3" headerRowDxfId="50" dataDxfId="49"/>
    <tableColumn id="4" xr3:uid="{252E20A9-919A-4E29-AAF8-BDCC09C67962}" name="Column4" headerRowDxfId="48" dataDxfId="47" headerRowCellStyle="Comma" dataCellStyle="Comma"/>
    <tableColumn id="5" xr3:uid="{CCA0EED3-CA7F-4E6F-A189-FD23DD7E072F}" name="Column5" headerRowDxfId="46" dataDxfId="45" headerRowCellStyle="Comma" dataCellStyle="Currency"/>
    <tableColumn id="6" xr3:uid="{24F11ED1-214D-4DB8-9104-D03A0F247900}" name="Column6" headerRowDxfId="44" dataDxfId="4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29:K62" headerRowCount="0" totalsRowShown="0" headerRowDxfId="42" dataDxfId="40" headerRowBorderDxfId="41" tableBorderDxfId="39" totalsRowBorderDxfId="38">
  <tableColumns count="10">
    <tableColumn id="1" xr3:uid="{EA091CDF-BC6F-4230-8F64-267D8E51B7D6}" name="Column1" headerRowDxfId="37" dataDxfId="36"/>
    <tableColumn id="2" xr3:uid="{D65192E4-BFF3-41B7-B98C-90FA0D6B64A2}" name="Column2" headerRowDxfId="35" dataDxfId="34"/>
    <tableColumn id="3" xr3:uid="{8D2C1EA2-9635-461C-A1C6-5E1A1C2C2D50}" name="Column3" headerRowDxfId="33" dataDxfId="32"/>
    <tableColumn id="4" xr3:uid="{2FC276F1-58CF-4223-B6EF-CA227898710B}" name="Column4" headerRowDxfId="31" dataDxfId="30" headerRowCellStyle="Comma" dataCellStyle="Comma"/>
    <tableColumn id="5" xr3:uid="{85819B40-5CBF-4CCF-BAEE-DDEB1BA1491C}" name="Column5" headerRowDxfId="29" dataDxfId="28" headerRowCellStyle="Comma" dataCellStyle="Comma"/>
    <tableColumn id="6" xr3:uid="{51A0CE7C-69B5-4890-BC47-A595A43E03C0}" name="Column6" headerRowDxfId="27" dataDxfId="26"/>
    <tableColumn id="7" xr3:uid="{BE9D0145-DCDE-4B84-8B3B-5A51C81D6229}" name="Column7" headerRowDxfId="25" dataDxfId="24"/>
    <tableColumn id="8" xr3:uid="{EB2B3D0E-3FFD-4D35-8F3D-5603A068E9BA}" name="Column8" headerRowDxfId="23" dataDxfId="22"/>
    <tableColumn id="9" xr3:uid="{43655A47-0332-4654-9623-985DEF349144}" name="Column9" headerRowDxfId="21" dataDxfId="20">
      <calculatedColumnFormula>'Sales Amount'!$F29*'Sales Amount'!$H29</calculatedColumnFormula>
    </tableColumn>
    <tableColumn id="10" xr3:uid="{06324381-218F-4637-B214-615738371C45}" name="Column10" headerRowDxfId="19" dataDxfId="18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982D30-49F6-4035-B521-951BE93596B1}" name="DGRIPA" displayName="DGRIPA" ref="A1:C7" totalsRowShown="0" headerRowDxfId="17">
  <autoFilter ref="A1:C7" xr:uid="{95580F94-A302-4474-91A4-3C27A0BB4DBB}"/>
  <tableColumns count="3">
    <tableColumn id="1" xr3:uid="{26811678-ECAF-4635-B5FF-6D676E4CD539}" name="IPATerm" dataDxfId="16"/>
    <tableColumn id="2" xr3:uid="{3BFC9143-7D6D-49CF-A3C6-A5E56D271AF6}" name="UseFee" dataDxfId="15" dataCellStyle="Percent"/>
    <tableColumn id="3" xr3:uid="{F9482CB8-A358-476F-981B-26B72D611892}" name="DGR" dataDxfId="14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>
    <pageSetUpPr fitToPage="1"/>
  </sheetPr>
  <dimension ref="B2:O45"/>
  <sheetViews>
    <sheetView showGridLines="0" tabSelected="1" zoomScale="90" zoomScaleNormal="90" workbookViewId="0">
      <selection activeCell="H2" sqref="H2:J3"/>
    </sheetView>
  </sheetViews>
  <sheetFormatPr defaultColWidth="9.1796875" defaultRowHeight="14.5"/>
  <cols>
    <col min="1" max="1" width="9.1796875" style="24"/>
    <col min="2" max="2" width="2.54296875" style="24" bestFit="1" customWidth="1"/>
    <col min="3" max="3" width="37.7265625" style="24" bestFit="1" customWidth="1"/>
    <col min="4" max="4" width="44.26953125" style="24" bestFit="1" customWidth="1"/>
    <col min="5" max="5" width="15.453125" style="24" customWidth="1"/>
    <col min="6" max="6" width="9" style="24" customWidth="1"/>
    <col min="7" max="7" width="47.1796875" style="24" bestFit="1" customWidth="1"/>
    <col min="8" max="8" width="27.453125" style="24" customWidth="1"/>
    <col min="9" max="10" width="20.1796875" style="24" customWidth="1"/>
    <col min="11" max="11" width="21" style="24" customWidth="1"/>
    <col min="12" max="16384" width="9.1796875" style="24"/>
  </cols>
  <sheetData>
    <row r="2" spans="2:15">
      <c r="C2" s="18" t="s">
        <v>0</v>
      </c>
      <c r="H2" s="133" t="s">
        <v>217</v>
      </c>
      <c r="I2" s="133"/>
      <c r="J2" s="133"/>
    </row>
    <row r="3" spans="2:15">
      <c r="C3" s="108" t="s">
        <v>205</v>
      </c>
      <c r="D3" s="108"/>
      <c r="E3" s="18"/>
      <c r="F3" s="18"/>
      <c r="G3" s="18"/>
      <c r="H3" s="133"/>
      <c r="I3" s="133"/>
      <c r="J3" s="133"/>
      <c r="L3" s="18"/>
      <c r="M3" s="18"/>
      <c r="N3" s="18"/>
    </row>
    <row r="5" spans="2:15" ht="23.25" customHeight="1">
      <c r="C5" s="26" t="s">
        <v>206</v>
      </c>
      <c r="D5" s="19"/>
      <c r="G5" s="27" t="s">
        <v>152</v>
      </c>
      <c r="H5" s="20"/>
      <c r="I5" s="28"/>
      <c r="J5" s="28"/>
      <c r="L5" s="28"/>
      <c r="M5" s="28"/>
      <c r="N5" s="28"/>
    </row>
    <row r="6" spans="2:15" ht="23.25" customHeight="1">
      <c r="C6" s="26" t="s">
        <v>1</v>
      </c>
      <c r="D6" s="19"/>
      <c r="G6" s="27" t="s">
        <v>107</v>
      </c>
      <c r="H6" s="21"/>
      <c r="I6" s="28"/>
      <c r="J6" s="28"/>
      <c r="L6" s="28"/>
      <c r="M6" s="28"/>
      <c r="N6" s="28"/>
    </row>
    <row r="7" spans="2:15" ht="23.25" customHeight="1">
      <c r="C7" s="26" t="s">
        <v>183</v>
      </c>
      <c r="D7" s="20"/>
      <c r="G7" s="27" t="s">
        <v>2</v>
      </c>
      <c r="H7" s="106">
        <v>3.5999999999999997E-2</v>
      </c>
      <c r="I7" s="29" t="str">
        <f>IFERROR(_xlfn.XLOOKUP(#REF!, 'Delcared Use_HST'!A32:A39, 'Delcared Use_HST'!B32:B39), "")</f>
        <v/>
      </c>
      <c r="J7" s="29"/>
      <c r="L7" s="28"/>
      <c r="M7" s="28"/>
      <c r="N7" s="28"/>
    </row>
    <row r="8" spans="2:15" ht="23.25" customHeight="1">
      <c r="C8" s="26" t="s">
        <v>207</v>
      </c>
      <c r="D8" s="21"/>
      <c r="E8" s="109" t="str" cm="1">
        <f t="array" aca="1" ref="E8" ca="1">IF(ISNA(MATCH(D8, INDIRECT(_xlfn.SWITCH(#REF!,
    "TIP 2002 - 2014", "TIPGreen",
    "TIP 2015 - 2017", "TIPOrange",
    "TIP 2018 - 2020 - Class I", "TIPBlue",
    "TIP 2018 - 2020 - Class II, III, &amp; IV", "TIPBlue")), 0)),
    "Option invalid, select correct IPA Term", "")</f>
        <v/>
      </c>
      <c r="F8" s="109"/>
      <c r="G8" s="18" t="s">
        <v>203</v>
      </c>
      <c r="I8" s="88"/>
      <c r="J8" s="88"/>
      <c r="L8" s="30"/>
      <c r="M8" s="30"/>
      <c r="N8" s="30"/>
    </row>
    <row r="9" spans="2:15">
      <c r="C9" s="31" t="s">
        <v>169</v>
      </c>
      <c r="D9" s="22"/>
    </row>
    <row r="10" spans="2:15" ht="15" thickBot="1">
      <c r="C10" s="26"/>
    </row>
    <row r="11" spans="2:15">
      <c r="B11" s="32"/>
      <c r="C11" s="33"/>
      <c r="D11" s="33"/>
      <c r="E11" s="33"/>
      <c r="F11" s="33"/>
      <c r="G11" s="104"/>
      <c r="H11" s="104"/>
      <c r="I11" s="33"/>
      <c r="J11" s="33"/>
      <c r="K11" s="34"/>
      <c r="L11" s="35"/>
      <c r="M11" s="35"/>
      <c r="N11" s="35"/>
      <c r="O11" s="35"/>
    </row>
    <row r="12" spans="2:15">
      <c r="B12" s="36"/>
      <c r="C12" s="91"/>
      <c r="D12" s="91"/>
      <c r="E12" s="91"/>
      <c r="F12" s="91"/>
      <c r="I12" s="91"/>
      <c r="J12" s="91"/>
      <c r="K12" s="89"/>
    </row>
    <row r="13" spans="2:15">
      <c r="B13" s="36"/>
      <c r="G13" s="92"/>
      <c r="K13" s="37"/>
    </row>
    <row r="14" spans="2:15">
      <c r="B14" s="36"/>
      <c r="C14" s="18" t="s">
        <v>5</v>
      </c>
      <c r="G14" s="18"/>
      <c r="K14" s="37"/>
    </row>
    <row r="15" spans="2:15">
      <c r="B15" s="36"/>
      <c r="C15" s="92" t="s">
        <v>212</v>
      </c>
      <c r="G15" s="18" t="s">
        <v>177</v>
      </c>
      <c r="H15" s="95">
        <f>IFERROR(SUM(D17*$H$7), "")</f>
        <v>0</v>
      </c>
      <c r="K15" s="37"/>
    </row>
    <row r="16" spans="2:15">
      <c r="B16" s="36"/>
      <c r="D16" s="18" t="s">
        <v>159</v>
      </c>
      <c r="E16" s="18"/>
      <c r="G16" s="18" t="s">
        <v>178</v>
      </c>
      <c r="H16" s="95">
        <f>IFERROR(SUM(D18*$H$7), "")</f>
        <v>0</v>
      </c>
      <c r="K16" s="37"/>
    </row>
    <row r="17" spans="2:11">
      <c r="B17" s="36"/>
      <c r="C17" s="90" t="s">
        <v>172</v>
      </c>
      <c r="D17" s="94">
        <f>'Sales Amount'!F20</f>
        <v>0</v>
      </c>
      <c r="I17" s="93"/>
      <c r="K17" s="37"/>
    </row>
    <row r="18" spans="2:11">
      <c r="B18" s="36"/>
      <c r="C18" s="90" t="s">
        <v>176</v>
      </c>
      <c r="D18" s="94">
        <f>'Sales Amount'!K63</f>
        <v>0</v>
      </c>
      <c r="G18" s="95" t="str">
        <f>IFERROR(SUM(#REF!*$H$7), "")</f>
        <v/>
      </c>
      <c r="I18" s="95"/>
      <c r="K18" s="37"/>
    </row>
    <row r="19" spans="2:11">
      <c r="B19" s="36"/>
      <c r="G19" s="18" t="s">
        <v>6</v>
      </c>
      <c r="H19" s="95">
        <f>ROUND(SUM(H15:H16),2)</f>
        <v>0</v>
      </c>
      <c r="I19" s="95"/>
      <c r="K19" s="37"/>
    </row>
    <row r="20" spans="2:11">
      <c r="B20" s="36"/>
      <c r="C20" s="18" t="s">
        <v>204</v>
      </c>
      <c r="D20" s="94">
        <f>SUBTOTAL(9,D14:D18)</f>
        <v>0</v>
      </c>
      <c r="E20" s="95"/>
      <c r="G20" s="95"/>
      <c r="H20" s="95"/>
      <c r="I20" s="95"/>
      <c r="K20" s="37"/>
    </row>
    <row r="21" spans="2:11">
      <c r="B21" s="36"/>
      <c r="G21" s="18" t="str" cm="1">
        <f t="array" ref="G21">_xlfn.IFS(D6=2026, "12.5% Insurace &amp; Retirement",D6=2027, "13% Insurace &amp; Retirement",TRUE, "12% Insurace &amp; Retirement")</f>
        <v>12% Insurace &amp; Retirement</v>
      </c>
      <c r="H21" s="95" cm="1">
        <f t="array" ref="H21">IF(H19 &lt;= 0, 0, ROUND(H19 * _xlfn.IFS(D6=2026, 12.5%,D6=2027, 13%,TRUE, 12%), 2))</f>
        <v>0</v>
      </c>
      <c r="I21" s="95"/>
      <c r="K21" s="37"/>
    </row>
    <row r="22" spans="2:11">
      <c r="B22" s="36"/>
      <c r="D22" s="95"/>
      <c r="G22" s="18"/>
      <c r="I22" s="95"/>
      <c r="K22" s="37"/>
    </row>
    <row r="23" spans="2:11">
      <c r="B23" s="36"/>
      <c r="G23" s="18" t="s">
        <v>7</v>
      </c>
      <c r="H23" s="95">
        <f>IF(OR(H19 &lt;= 0, H21 &lt;= 0), 0, ROUND(SUM(H19, H21) * 1%, 2))</f>
        <v>0</v>
      </c>
      <c r="J23" s="25"/>
      <c r="K23" s="37"/>
    </row>
    <row r="24" spans="2:11">
      <c r="B24" s="36"/>
      <c r="C24" s="96" t="s">
        <v>149</v>
      </c>
      <c r="D24" s="96"/>
      <c r="G24" s="92" t="s">
        <v>8</v>
      </c>
      <c r="J24" s="25"/>
      <c r="K24" s="38"/>
    </row>
    <row r="25" spans="2:11">
      <c r="B25" s="36"/>
      <c r="C25" s="31" t="s">
        <v>153</v>
      </c>
      <c r="D25" s="23"/>
      <c r="E25" s="97"/>
      <c r="J25" s="25"/>
      <c r="K25" s="38"/>
    </row>
    <row r="26" spans="2:11">
      <c r="B26" s="36"/>
      <c r="C26" s="43" t="s">
        <v>148</v>
      </c>
      <c r="D26" s="25"/>
      <c r="G26" s="18" t="s">
        <v>9</v>
      </c>
      <c r="H26" s="95">
        <f>IF(H19&lt;=0, 0, ROUND(SUM(H19,H21,H23),2))</f>
        <v>0</v>
      </c>
      <c r="J26" s="25"/>
      <c r="K26" s="38"/>
    </row>
    <row r="27" spans="2:11">
      <c r="B27" s="36"/>
      <c r="C27" s="31" t="s">
        <v>154</v>
      </c>
      <c r="D27" s="98" t="str">
        <f>IF(D25="", "", D25+3%)</f>
        <v/>
      </c>
      <c r="G27" s="18" t="s">
        <v>162</v>
      </c>
      <c r="H27" s="22">
        <v>0</v>
      </c>
      <c r="J27" s="25"/>
      <c r="K27" s="38"/>
    </row>
    <row r="28" spans="2:11">
      <c r="B28" s="36"/>
      <c r="C28" s="25" t="s">
        <v>155</v>
      </c>
      <c r="D28" s="99" t="str">
        <f>IF(H5="", "", H5+60)</f>
        <v/>
      </c>
      <c r="E28" s="97"/>
      <c r="G28" s="18" t="str">
        <f>IFERROR(_xlfn.XLOOKUP(H6, 'Delcared Use_HST'!A3:A16, 'Delcared Use_HST'!E3:E16), "Please choose 'Tax Territory'")</f>
        <v>Please choose 'Tax Territory'</v>
      </c>
      <c r="H28" s="95">
        <f>IFERROR((H26-H27) * _xlfn.XLOOKUP(H6,'Delcared Use_HST'!A3:A15,'Delcared Use_HST'!B3:B15), 0)</f>
        <v>0</v>
      </c>
      <c r="K28" s="38"/>
    </row>
    <row r="29" spans="2:11">
      <c r="B29" s="36"/>
      <c r="C29" s="25" t="s">
        <v>182</v>
      </c>
      <c r="D29" s="107"/>
      <c r="E29" s="97"/>
      <c r="G29" s="100" t="str">
        <f>IF(ISBLANK(H6), "", IFERROR(_xlfn.XLOOKUP(H6, 'Delcared Use_HST'!A3:A16, 'Delcared Use_HST'!G3:G16), ""))</f>
        <v/>
      </c>
      <c r="H29" s="95"/>
      <c r="K29" s="38"/>
    </row>
    <row r="30" spans="2:11">
      <c r="B30" s="36"/>
      <c r="C30" s="24" t="s">
        <v>211</v>
      </c>
      <c r="D30" s="101" t="str">
        <f>IFERROR(DATEDIF(D28,D29,"m")," ")</f>
        <v xml:space="preserve"> </v>
      </c>
      <c r="E30" s="97"/>
      <c r="G30" s="102" t="s">
        <v>150</v>
      </c>
      <c r="H30" s="95">
        <f>IFERROR(IF(H19&lt;=0, 0, (H26*D27)*(D30/12)),0)</f>
        <v>0</v>
      </c>
      <c r="K30" s="38"/>
    </row>
    <row r="31" spans="2:11">
      <c r="B31" s="36"/>
      <c r="C31" s="25"/>
      <c r="D31" s="101"/>
      <c r="E31" s="97"/>
      <c r="K31" s="38"/>
    </row>
    <row r="32" spans="2:11">
      <c r="B32" s="36"/>
      <c r="G32" s="35" t="s">
        <v>10</v>
      </c>
      <c r="H32" s="95">
        <f>H28+H30+H26-H27</f>
        <v>0</v>
      </c>
      <c r="I32" s="103" t="s">
        <v>151</v>
      </c>
      <c r="K32" s="38"/>
    </row>
    <row r="33" spans="2:11">
      <c r="B33" s="36"/>
      <c r="K33" s="38"/>
    </row>
    <row r="34" spans="2:11">
      <c r="B34" s="36"/>
      <c r="J34" s="100" t="str">
        <f>IF(I32="", "Kindly indicate USD/CAD", "")</f>
        <v/>
      </c>
      <c r="K34" s="38"/>
    </row>
    <row r="35" spans="2:11" ht="15" thickBot="1">
      <c r="B35" s="39"/>
      <c r="C35" s="40"/>
      <c r="D35" s="40"/>
      <c r="E35" s="40"/>
      <c r="F35" s="40"/>
      <c r="G35" s="40"/>
      <c r="H35" s="40"/>
      <c r="I35" s="40"/>
      <c r="J35" s="40"/>
      <c r="K35" s="41"/>
    </row>
    <row r="45" spans="2:11">
      <c r="E45" s="42"/>
    </row>
  </sheetData>
  <sheetProtection algorithmName="SHA-512" hashValue="d9c8Ux9DAfctjHEj3n3WpVLtTMLwY9kFkJn/ngTn1lh6Zvj/cbfeMgcLMsI+oxewxdbzAuzFD2KLQ3KkDddXNg==" saltValue="UhUy7pu8LUBiPjOAD+/P4g==" spinCount="100000" sheet="1" selectLockedCells="1"/>
  <mergeCells count="3">
    <mergeCell ref="H2:J3"/>
    <mergeCell ref="C3:D3"/>
    <mergeCell ref="E8:F8"/>
  </mergeCells>
  <conditionalFormatting sqref="D5:D7">
    <cfRule type="expression" dxfId="13" priority="20">
      <formula>ISBLANK(D5)</formula>
    </cfRule>
  </conditionalFormatting>
  <conditionalFormatting sqref="D8">
    <cfRule type="expression" dxfId="12" priority="5">
      <formula>ISBLANK(D8)</formula>
    </cfRule>
  </conditionalFormatting>
  <conditionalFormatting sqref="D9">
    <cfRule type="expression" dxfId="11" priority="13">
      <formula>D9=""</formula>
    </cfRule>
  </conditionalFormatting>
  <conditionalFormatting sqref="D17:D18">
    <cfRule type="cellIs" dxfId="10" priority="9" operator="lessThanOrEqual">
      <formula>0</formula>
    </cfRule>
  </conditionalFormatting>
  <conditionalFormatting sqref="D20">
    <cfRule type="cellIs" dxfId="9" priority="16" operator="lessThanOrEqual">
      <formula>0</formula>
    </cfRule>
  </conditionalFormatting>
  <conditionalFormatting sqref="G18:G20 H19:H21 H26:H30">
    <cfRule type="cellIs" dxfId="8" priority="8" operator="lessThanOrEqual">
      <formula>0</formula>
    </cfRule>
  </conditionalFormatting>
  <conditionalFormatting sqref="G15:H16">
    <cfRule type="cellIs" dxfId="7" priority="4" operator="lessThanOrEqual">
      <formula>0</formula>
    </cfRule>
  </conditionalFormatting>
  <conditionalFormatting sqref="H5:H6">
    <cfRule type="expression" dxfId="6" priority="22">
      <formula>ISBLANK(H5)</formula>
    </cfRule>
  </conditionalFormatting>
  <conditionalFormatting sqref="H7">
    <cfRule type="expression" dxfId="5" priority="34">
      <formula>H7="ERROR. Please select the correct IPA Term and Option. No match."</formula>
    </cfRule>
  </conditionalFormatting>
  <conditionalFormatting sqref="H23 H32">
    <cfRule type="cellIs" dxfId="4" priority="17" operator="lessThanOrEqual">
      <formula>0</formula>
    </cfRule>
  </conditionalFormatting>
  <conditionalFormatting sqref="H27">
    <cfRule type="expression" dxfId="3" priority="36">
      <formula>OR(H19&lt;=0, OR(H27=0, H27=""))</formula>
    </cfRule>
  </conditionalFormatting>
  <conditionalFormatting sqref="H2:J3">
    <cfRule type="expression" dxfId="0" priority="1">
      <formula>OR(H2="", H2="Company Name")</formula>
    </cfRule>
    <cfRule type="colorScale" priority="2">
      <colorScale>
        <cfvo type="min"/>
        <cfvo type="max"/>
        <color theme="0"/>
        <color theme="2"/>
      </colorScale>
    </cfRule>
    <cfRule type="containsText" dxfId="2" priority="3" stopIfTrue="1" operator="containsText" text="(Please put Company Name or remittance on letterhead)">
      <formula>NOT(ISERROR(SEARCH("(Please put Company Name or remittance on letterhead)",H2)))</formula>
    </cfRule>
  </conditionalFormatting>
  <conditionalFormatting sqref="I32">
    <cfRule type="expression" dxfId="1" priority="19">
      <formula>ISBLANK($I$32)</formula>
    </cfRule>
  </conditionalFormatting>
  <dataValidations count="6">
    <dataValidation type="list" allowBlank="1" showInputMessage="1" showErrorMessage="1" sqref="H6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whole" allowBlank="1" showInputMessage="1" showErrorMessage="1" sqref="D6" xr:uid="{DCA10426-37EB-4B19-9B04-287AA53E80D7}">
      <formula1>-999999999</formula1>
      <formula2>999999999</formula2>
    </dataValidation>
    <dataValidation type="decimal" allowBlank="1" showInputMessage="1" showErrorMessage="1" sqref="D25" xr:uid="{F0092733-B00E-47C1-93C9-D3D1BDB76CCE}">
      <formula1>-99999999</formula1>
      <formula2>999999999</formula2>
    </dataValidation>
    <dataValidation type="decimal" allowBlank="1" showInputMessage="1" showErrorMessage="1" sqref="H27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53D9BF63-F967-46AF-B7AD-52FEC106BEC6}"/>
    <dataValidation allowBlank="1" showInputMessage="1" showErrorMessage="1" prompt="Please enter/elect information in the YELLOW highlighted fields and Sales Amount sheet." sqref="D5" xr:uid="{54E54ECC-8515-488D-A7AA-AB2FA69B08F6}"/>
  </dataValidations>
  <hyperlinks>
    <hyperlink ref="C26" r:id="rId1" xr:uid="{4FBBFD2F-233E-4437-8586-328A104AA933}"/>
  </hyperlinks>
  <pageMargins left="0.7" right="0.7" top="0.75" bottom="0.75" header="0.3" footer="0.3"/>
  <pageSetup scale="4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>
    <tabColor rgb="FFFFFF00"/>
    <pageSetUpPr fitToPage="1"/>
  </sheetPr>
  <dimension ref="B2:L63"/>
  <sheetViews>
    <sheetView showGridLines="0" topLeftCell="A7" zoomScale="80" zoomScaleNormal="80" workbookViewId="0">
      <selection activeCell="F25" sqref="F25:F28"/>
    </sheetView>
  </sheetViews>
  <sheetFormatPr defaultColWidth="8.7265625" defaultRowHeight="14.5"/>
  <cols>
    <col min="1" max="1" width="3" style="51" customWidth="1"/>
    <col min="2" max="2" width="41.26953125" style="51" customWidth="1"/>
    <col min="3" max="3" width="27" style="51" customWidth="1"/>
    <col min="4" max="4" width="21.453125" style="51" customWidth="1"/>
    <col min="5" max="6" width="22.453125" style="51" customWidth="1"/>
    <col min="7" max="7" width="30.26953125" style="51" bestFit="1" customWidth="1"/>
    <col min="8" max="8" width="30.81640625" style="51" customWidth="1"/>
    <col min="9" max="11" width="25.54296875" style="51" customWidth="1"/>
    <col min="12" max="12" width="23.1796875" style="51" bestFit="1" customWidth="1"/>
    <col min="13" max="16384" width="8.7265625" style="51"/>
  </cols>
  <sheetData>
    <row r="2" spans="2:12">
      <c r="B2" s="50" t="s">
        <v>164</v>
      </c>
      <c r="C2" s="55" t="str">
        <f>IF('REPORTING FORM'!D5=""," ",'REPORTING FORM'!D5)</f>
        <v xml:space="preserve"> </v>
      </c>
    </row>
    <row r="4" spans="2:12">
      <c r="B4" s="50" t="s">
        <v>163</v>
      </c>
      <c r="C4" s="56" t="str">
        <f>IF('REPORTING FORM'!H5=""," ",'REPORTING FORM'!H5)</f>
        <v xml:space="preserve"> </v>
      </c>
    </row>
    <row r="6" spans="2:12" ht="47.15" customHeight="1">
      <c r="B6" s="118" t="s">
        <v>181</v>
      </c>
      <c r="C6" s="118"/>
      <c r="D6" s="118"/>
    </row>
    <row r="7" spans="2:12" ht="15" thickBot="1"/>
    <row r="8" spans="2:12">
      <c r="B8" s="129" t="s">
        <v>171</v>
      </c>
      <c r="C8" s="130"/>
      <c r="D8" s="130"/>
      <c r="E8" s="130"/>
      <c r="F8" s="130"/>
      <c r="G8" s="130"/>
      <c r="H8" s="130"/>
      <c r="I8" s="130"/>
      <c r="J8" s="130"/>
      <c r="K8" s="130"/>
      <c r="L8" s="131"/>
    </row>
    <row r="9" spans="2:12" ht="51.75" customHeight="1">
      <c r="B9" s="45" t="s">
        <v>3</v>
      </c>
      <c r="C9" s="46" t="s">
        <v>158</v>
      </c>
      <c r="D9" s="47" t="s">
        <v>160</v>
      </c>
      <c r="E9" s="47" t="s">
        <v>216</v>
      </c>
      <c r="F9" s="47" t="s">
        <v>161</v>
      </c>
      <c r="G9" s="47" t="s">
        <v>4</v>
      </c>
      <c r="H9" s="115" t="s">
        <v>185</v>
      </c>
      <c r="I9" s="115"/>
      <c r="J9" s="115"/>
      <c r="K9" s="115"/>
      <c r="L9" s="112"/>
    </row>
    <row r="10" spans="2:12">
      <c r="B10" s="52"/>
      <c r="C10" s="48"/>
      <c r="D10" s="48"/>
      <c r="E10" s="57"/>
      <c r="F10" s="70"/>
      <c r="G10" s="58"/>
      <c r="H10" s="113"/>
      <c r="I10" s="113"/>
      <c r="J10" s="113"/>
      <c r="K10" s="113"/>
      <c r="L10" s="114"/>
    </row>
    <row r="11" spans="2:12">
      <c r="B11" s="52"/>
      <c r="C11" s="48"/>
      <c r="D11" s="48"/>
      <c r="E11" s="57"/>
      <c r="F11" s="70"/>
      <c r="G11" s="58"/>
      <c r="H11" s="113"/>
      <c r="I11" s="113"/>
      <c r="J11" s="113"/>
      <c r="K11" s="113"/>
      <c r="L11" s="114"/>
    </row>
    <row r="12" spans="2:12">
      <c r="B12" s="52"/>
      <c r="C12" s="48"/>
      <c r="D12" s="48"/>
      <c r="E12" s="57"/>
      <c r="F12" s="70"/>
      <c r="G12" s="58"/>
      <c r="H12" s="113"/>
      <c r="I12" s="113"/>
      <c r="J12" s="113"/>
      <c r="K12" s="113"/>
      <c r="L12" s="114"/>
    </row>
    <row r="13" spans="2:12">
      <c r="B13" s="52"/>
      <c r="C13" s="48"/>
      <c r="D13" s="48"/>
      <c r="E13" s="57"/>
      <c r="F13" s="70"/>
      <c r="G13" s="58"/>
      <c r="H13" s="113"/>
      <c r="I13" s="113"/>
      <c r="J13" s="113"/>
      <c r="K13" s="113"/>
      <c r="L13" s="114"/>
    </row>
    <row r="14" spans="2:12">
      <c r="B14" s="52"/>
      <c r="C14" s="48"/>
      <c r="D14" s="48"/>
      <c r="E14" s="57"/>
      <c r="F14" s="70"/>
      <c r="G14" s="58"/>
      <c r="H14" s="113"/>
      <c r="I14" s="113"/>
      <c r="J14" s="113"/>
      <c r="K14" s="113"/>
      <c r="L14" s="114"/>
    </row>
    <row r="15" spans="2:12">
      <c r="B15" s="52"/>
      <c r="C15" s="48"/>
      <c r="D15" s="48"/>
      <c r="E15" s="57"/>
      <c r="F15" s="70"/>
      <c r="G15" s="58"/>
      <c r="H15" s="113"/>
      <c r="I15" s="113"/>
      <c r="J15" s="113"/>
      <c r="K15" s="113"/>
      <c r="L15" s="114"/>
    </row>
    <row r="16" spans="2:12">
      <c r="B16" s="52"/>
      <c r="C16" s="48"/>
      <c r="D16" s="48"/>
      <c r="E16" s="57"/>
      <c r="F16" s="70"/>
      <c r="G16" s="58"/>
      <c r="H16" s="123"/>
      <c r="I16" s="124"/>
      <c r="J16" s="124"/>
      <c r="K16" s="124"/>
      <c r="L16" s="125"/>
    </row>
    <row r="17" spans="2:12">
      <c r="B17" s="52"/>
      <c r="C17" s="48"/>
      <c r="D17" s="48"/>
      <c r="E17" s="57"/>
      <c r="F17" s="70"/>
      <c r="G17" s="58"/>
      <c r="H17" s="126"/>
      <c r="I17" s="127"/>
      <c r="J17" s="127"/>
      <c r="K17" s="127"/>
      <c r="L17" s="128"/>
    </row>
    <row r="18" spans="2:12">
      <c r="B18" s="52"/>
      <c r="C18" s="48"/>
      <c r="D18" s="48"/>
      <c r="E18" s="57"/>
      <c r="F18" s="70"/>
      <c r="G18" s="58"/>
      <c r="H18" s="126"/>
      <c r="I18" s="127"/>
      <c r="J18" s="127"/>
      <c r="K18" s="127"/>
      <c r="L18" s="128"/>
    </row>
    <row r="19" spans="2:12">
      <c r="B19" s="53"/>
      <c r="C19" s="49"/>
      <c r="D19" s="49"/>
      <c r="E19" s="59"/>
      <c r="F19" s="71"/>
      <c r="G19" s="60"/>
      <c r="H19" s="126"/>
      <c r="I19" s="127"/>
      <c r="J19" s="127"/>
      <c r="K19" s="127"/>
      <c r="L19" s="128"/>
    </row>
    <row r="20" spans="2:12" ht="24" customHeight="1" thickBot="1">
      <c r="B20" s="54"/>
      <c r="C20" s="61"/>
      <c r="D20" s="61"/>
      <c r="E20" s="62" t="s">
        <v>165</v>
      </c>
      <c r="F20" s="63">
        <f>SUMIFS(Table5[[#All],[Column5]], Table5[[#All],[Column2]], "&lt;&gt;Distributor Agreement - Advance")</f>
        <v>0</v>
      </c>
      <c r="G20" s="44" t="s">
        <v>173</v>
      </c>
      <c r="H20" s="61"/>
      <c r="I20" s="61"/>
      <c r="J20" s="61"/>
      <c r="K20" s="61"/>
      <c r="L20" s="64"/>
    </row>
    <row r="23" spans="2:12" ht="15" thickBot="1"/>
    <row r="24" spans="2:12" ht="28" customHeight="1">
      <c r="B24" s="120" t="s">
        <v>175</v>
      </c>
      <c r="C24" s="121"/>
      <c r="D24" s="121"/>
      <c r="E24" s="121"/>
      <c r="F24" s="121"/>
      <c r="G24" s="121"/>
      <c r="H24" s="121"/>
      <c r="I24" s="121"/>
      <c r="J24" s="121"/>
      <c r="K24" s="122"/>
    </row>
    <row r="25" spans="2:12" ht="14.5" customHeight="1">
      <c r="B25" s="119" t="s">
        <v>156</v>
      </c>
      <c r="C25" s="115" t="s">
        <v>4</v>
      </c>
      <c r="D25" s="115" t="s">
        <v>157</v>
      </c>
      <c r="E25" s="115" t="s">
        <v>213</v>
      </c>
      <c r="F25" s="115" t="s">
        <v>214</v>
      </c>
      <c r="G25" s="115" t="s">
        <v>166</v>
      </c>
      <c r="H25" s="115" t="s">
        <v>180</v>
      </c>
      <c r="I25" s="110" t="s">
        <v>168</v>
      </c>
      <c r="J25" s="110"/>
      <c r="K25" s="111"/>
    </row>
    <row r="26" spans="2:12" ht="15" customHeight="1">
      <c r="B26" s="119"/>
      <c r="C26" s="115"/>
      <c r="D26" s="115"/>
      <c r="E26" s="115"/>
      <c r="F26" s="115"/>
      <c r="G26" s="115"/>
      <c r="H26" s="115"/>
      <c r="I26" s="47" t="s">
        <v>215</v>
      </c>
      <c r="J26" s="115" t="s">
        <v>167</v>
      </c>
      <c r="K26" s="112" t="s">
        <v>174</v>
      </c>
    </row>
    <row r="27" spans="2:12" ht="19.5" customHeight="1">
      <c r="B27" s="119"/>
      <c r="C27" s="115"/>
      <c r="D27" s="115"/>
      <c r="E27" s="115"/>
      <c r="F27" s="115"/>
      <c r="G27" s="115"/>
      <c r="H27" s="116" t="s">
        <v>184</v>
      </c>
      <c r="I27" s="116" t="s">
        <v>179</v>
      </c>
      <c r="J27" s="115"/>
      <c r="K27" s="112"/>
    </row>
    <row r="28" spans="2:12" ht="19.5" customHeight="1">
      <c r="B28" s="119"/>
      <c r="C28" s="115"/>
      <c r="D28" s="115"/>
      <c r="E28" s="115"/>
      <c r="F28" s="132"/>
      <c r="G28" s="115"/>
      <c r="H28" s="117"/>
      <c r="I28" s="116"/>
      <c r="J28" s="115"/>
      <c r="K28" s="112"/>
    </row>
    <row r="29" spans="2:12">
      <c r="B29" s="72"/>
      <c r="C29" s="73"/>
      <c r="D29" s="73"/>
      <c r="E29" s="74"/>
      <c r="F29" s="74"/>
      <c r="G29" s="73"/>
      <c r="H29" s="105"/>
      <c r="I29" s="75"/>
      <c r="J29" s="68">
        <f>'Sales Amount'!$F29*'Sales Amount'!$H29</f>
        <v>0</v>
      </c>
      <c r="K29" s="69">
        <f>Table6[[#This Row],[Column8]]+Table6[[#This Row],[Column9]]</f>
        <v>0</v>
      </c>
    </row>
    <row r="30" spans="2:12">
      <c r="B30" s="72"/>
      <c r="C30" s="73"/>
      <c r="D30" s="73"/>
      <c r="E30" s="74"/>
      <c r="F30" s="74"/>
      <c r="G30" s="73"/>
      <c r="H30" s="105"/>
      <c r="I30" s="75"/>
      <c r="J30" s="68">
        <f>'Sales Amount'!$F30*'Sales Amount'!$H30</f>
        <v>0</v>
      </c>
      <c r="K30" s="69">
        <f>Table6[[#This Row],[Column8]]+Table6[[#This Row],[Column9]]</f>
        <v>0</v>
      </c>
    </row>
    <row r="31" spans="2:12">
      <c r="B31" s="72"/>
      <c r="C31" s="73"/>
      <c r="D31" s="73"/>
      <c r="E31" s="74"/>
      <c r="F31" s="74"/>
      <c r="G31" s="73"/>
      <c r="H31" s="105"/>
      <c r="I31" s="75"/>
      <c r="J31" s="68">
        <f>'Sales Amount'!$F31*'Sales Amount'!$H31</f>
        <v>0</v>
      </c>
      <c r="K31" s="69">
        <f>Table6[[#This Row],[Column8]]+Table6[[#This Row],[Column9]]</f>
        <v>0</v>
      </c>
    </row>
    <row r="32" spans="2:12">
      <c r="B32" s="72"/>
      <c r="C32" s="73"/>
      <c r="D32" s="73"/>
      <c r="E32" s="74"/>
      <c r="F32" s="74"/>
      <c r="G32" s="73"/>
      <c r="H32" s="105"/>
      <c r="I32" s="75"/>
      <c r="J32" s="68">
        <f>'Sales Amount'!$F32*'Sales Amount'!$H32</f>
        <v>0</v>
      </c>
      <c r="K32" s="69">
        <f>Table6[[#This Row],[Column8]]+Table6[[#This Row],[Column9]]</f>
        <v>0</v>
      </c>
    </row>
    <row r="33" spans="2:11">
      <c r="B33" s="72"/>
      <c r="C33" s="73"/>
      <c r="D33" s="73"/>
      <c r="E33" s="74"/>
      <c r="F33" s="74"/>
      <c r="G33" s="73"/>
      <c r="H33" s="105"/>
      <c r="I33" s="75"/>
      <c r="J33" s="68">
        <f>'Sales Amount'!$F33*'Sales Amount'!$H33</f>
        <v>0</v>
      </c>
      <c r="K33" s="69">
        <f>Table6[[#This Row],[Column8]]+Table6[[#This Row],[Column9]]</f>
        <v>0</v>
      </c>
    </row>
    <row r="34" spans="2:11">
      <c r="B34" s="72"/>
      <c r="C34" s="73"/>
      <c r="D34" s="73"/>
      <c r="E34" s="74"/>
      <c r="F34" s="74"/>
      <c r="G34" s="73"/>
      <c r="H34" s="105"/>
      <c r="I34" s="75"/>
      <c r="J34" s="68">
        <f>'Sales Amount'!$F34*'Sales Amount'!$H34</f>
        <v>0</v>
      </c>
      <c r="K34" s="69">
        <f>Table6[[#This Row],[Column8]]+Table6[[#This Row],[Column9]]</f>
        <v>0</v>
      </c>
    </row>
    <row r="35" spans="2:11">
      <c r="B35" s="72"/>
      <c r="C35" s="73"/>
      <c r="D35" s="73"/>
      <c r="E35" s="74"/>
      <c r="F35" s="74"/>
      <c r="G35" s="73"/>
      <c r="H35" s="105"/>
      <c r="I35" s="75"/>
      <c r="J35" s="68">
        <f>'Sales Amount'!$F35*'Sales Amount'!$H35</f>
        <v>0</v>
      </c>
      <c r="K35" s="69">
        <f>Table6[[#This Row],[Column8]]+Table6[[#This Row],[Column9]]</f>
        <v>0</v>
      </c>
    </row>
    <row r="36" spans="2:11">
      <c r="B36" s="72"/>
      <c r="C36" s="73"/>
      <c r="D36" s="73"/>
      <c r="E36" s="74"/>
      <c r="F36" s="74"/>
      <c r="G36" s="73"/>
      <c r="H36" s="105"/>
      <c r="I36" s="75"/>
      <c r="J36" s="68">
        <f>'Sales Amount'!$F36*'Sales Amount'!$H36</f>
        <v>0</v>
      </c>
      <c r="K36" s="69">
        <f>Table6[[#This Row],[Column8]]+Table6[[#This Row],[Column9]]</f>
        <v>0</v>
      </c>
    </row>
    <row r="37" spans="2:11">
      <c r="B37" s="72"/>
      <c r="C37" s="73"/>
      <c r="D37" s="73"/>
      <c r="E37" s="74"/>
      <c r="F37" s="74"/>
      <c r="G37" s="73"/>
      <c r="H37" s="105"/>
      <c r="I37" s="75"/>
      <c r="J37" s="68">
        <f>'Sales Amount'!$F37*'Sales Amount'!$H37</f>
        <v>0</v>
      </c>
      <c r="K37" s="69">
        <f>Table6[[#This Row],[Column8]]+Table6[[#This Row],[Column9]]</f>
        <v>0</v>
      </c>
    </row>
    <row r="38" spans="2:11">
      <c r="B38" s="72"/>
      <c r="C38" s="73"/>
      <c r="D38" s="73"/>
      <c r="E38" s="74"/>
      <c r="F38" s="74"/>
      <c r="G38" s="73"/>
      <c r="H38" s="105"/>
      <c r="I38" s="75"/>
      <c r="J38" s="68">
        <f>'Sales Amount'!$F38*'Sales Amount'!$H38</f>
        <v>0</v>
      </c>
      <c r="K38" s="69">
        <f>Table6[[#This Row],[Column8]]+Table6[[#This Row],[Column9]]</f>
        <v>0</v>
      </c>
    </row>
    <row r="39" spans="2:11">
      <c r="B39" s="72"/>
      <c r="C39" s="73"/>
      <c r="D39" s="73"/>
      <c r="E39" s="74"/>
      <c r="F39" s="74"/>
      <c r="G39" s="73"/>
      <c r="H39" s="105"/>
      <c r="I39" s="75"/>
      <c r="J39" s="68">
        <f>'Sales Amount'!$F39*'Sales Amount'!$H39</f>
        <v>0</v>
      </c>
      <c r="K39" s="69">
        <f>Table6[[#This Row],[Column8]]+Table6[[#This Row],[Column9]]</f>
        <v>0</v>
      </c>
    </row>
    <row r="40" spans="2:11">
      <c r="B40" s="72"/>
      <c r="C40" s="73"/>
      <c r="D40" s="73"/>
      <c r="E40" s="74"/>
      <c r="F40" s="74"/>
      <c r="G40" s="73"/>
      <c r="H40" s="105"/>
      <c r="I40" s="75"/>
      <c r="J40" s="68">
        <f>'Sales Amount'!$F40*'Sales Amount'!$H40</f>
        <v>0</v>
      </c>
      <c r="K40" s="69">
        <f>Table6[[#This Row],[Column8]]+Table6[[#This Row],[Column9]]</f>
        <v>0</v>
      </c>
    </row>
    <row r="41" spans="2:11">
      <c r="B41" s="72"/>
      <c r="C41" s="73"/>
      <c r="D41" s="73"/>
      <c r="E41" s="74"/>
      <c r="F41" s="74"/>
      <c r="G41" s="73"/>
      <c r="H41" s="105"/>
      <c r="I41" s="75"/>
      <c r="J41" s="68">
        <f>'Sales Amount'!$F41*'Sales Amount'!$H41</f>
        <v>0</v>
      </c>
      <c r="K41" s="69">
        <f>Table6[[#This Row],[Column8]]+Table6[[#This Row],[Column9]]</f>
        <v>0</v>
      </c>
    </row>
    <row r="42" spans="2:11">
      <c r="B42" s="72"/>
      <c r="C42" s="73"/>
      <c r="D42" s="73"/>
      <c r="E42" s="74"/>
      <c r="F42" s="74"/>
      <c r="G42" s="73"/>
      <c r="H42" s="105"/>
      <c r="I42" s="75"/>
      <c r="J42" s="68">
        <f>'Sales Amount'!$F42*'Sales Amount'!$H42</f>
        <v>0</v>
      </c>
      <c r="K42" s="69">
        <f>Table6[[#This Row],[Column8]]+Table6[[#This Row],[Column9]]</f>
        <v>0</v>
      </c>
    </row>
    <row r="43" spans="2:11">
      <c r="B43" s="72"/>
      <c r="C43" s="73"/>
      <c r="D43" s="73"/>
      <c r="E43" s="74"/>
      <c r="F43" s="74"/>
      <c r="G43" s="73"/>
      <c r="H43" s="105"/>
      <c r="I43" s="75"/>
      <c r="J43" s="68">
        <f>'Sales Amount'!$F43*'Sales Amount'!$H43</f>
        <v>0</v>
      </c>
      <c r="K43" s="69">
        <f>Table6[[#This Row],[Column8]]+Table6[[#This Row],[Column9]]</f>
        <v>0</v>
      </c>
    </row>
    <row r="44" spans="2:11">
      <c r="B44" s="72"/>
      <c r="C44" s="73"/>
      <c r="D44" s="73"/>
      <c r="E44" s="74"/>
      <c r="F44" s="74"/>
      <c r="G44" s="73"/>
      <c r="H44" s="105"/>
      <c r="I44" s="75"/>
      <c r="J44" s="68">
        <f>'Sales Amount'!$F44*'Sales Amount'!$H44</f>
        <v>0</v>
      </c>
      <c r="K44" s="69">
        <f>Table6[[#This Row],[Column8]]+Table6[[#This Row],[Column9]]</f>
        <v>0</v>
      </c>
    </row>
    <row r="45" spans="2:11">
      <c r="B45" s="72"/>
      <c r="C45" s="73"/>
      <c r="D45" s="73"/>
      <c r="E45" s="74"/>
      <c r="F45" s="74"/>
      <c r="G45" s="73"/>
      <c r="H45" s="105"/>
      <c r="I45" s="75"/>
      <c r="J45" s="68">
        <f>'Sales Amount'!$F45*'Sales Amount'!$H45</f>
        <v>0</v>
      </c>
      <c r="K45" s="69">
        <f>Table6[[#This Row],[Column8]]+Table6[[#This Row],[Column9]]</f>
        <v>0</v>
      </c>
    </row>
    <row r="46" spans="2:11">
      <c r="B46" s="72"/>
      <c r="C46" s="73"/>
      <c r="D46" s="73"/>
      <c r="E46" s="74"/>
      <c r="F46" s="74"/>
      <c r="G46" s="73"/>
      <c r="H46" s="105"/>
      <c r="I46" s="75"/>
      <c r="J46" s="68">
        <f>'Sales Amount'!$F46*'Sales Amount'!$H46</f>
        <v>0</v>
      </c>
      <c r="K46" s="69">
        <f>Table6[[#This Row],[Column8]]+Table6[[#This Row],[Column9]]</f>
        <v>0</v>
      </c>
    </row>
    <row r="47" spans="2:11">
      <c r="B47" s="72"/>
      <c r="C47" s="73"/>
      <c r="D47" s="73"/>
      <c r="E47" s="74"/>
      <c r="F47" s="74"/>
      <c r="G47" s="73"/>
      <c r="H47" s="105"/>
      <c r="I47" s="75"/>
      <c r="J47" s="68">
        <f>'Sales Amount'!$F47*'Sales Amount'!$H47</f>
        <v>0</v>
      </c>
      <c r="K47" s="69">
        <f>Table6[[#This Row],[Column8]]+Table6[[#This Row],[Column9]]</f>
        <v>0</v>
      </c>
    </row>
    <row r="48" spans="2:11">
      <c r="B48" s="72"/>
      <c r="C48" s="73"/>
      <c r="D48" s="73"/>
      <c r="E48" s="74"/>
      <c r="F48" s="74"/>
      <c r="G48" s="73"/>
      <c r="H48" s="105"/>
      <c r="I48" s="75"/>
      <c r="J48" s="68">
        <f>'Sales Amount'!$F48*'Sales Amount'!$H48</f>
        <v>0</v>
      </c>
      <c r="K48" s="69">
        <f>Table6[[#This Row],[Column8]]+Table6[[#This Row],[Column9]]</f>
        <v>0</v>
      </c>
    </row>
    <row r="49" spans="2:11">
      <c r="B49" s="72"/>
      <c r="C49" s="73"/>
      <c r="D49" s="73"/>
      <c r="E49" s="74"/>
      <c r="F49" s="74"/>
      <c r="G49" s="73"/>
      <c r="H49" s="105"/>
      <c r="I49" s="75"/>
      <c r="J49" s="68">
        <f>'Sales Amount'!$F49*'Sales Amount'!$H49</f>
        <v>0</v>
      </c>
      <c r="K49" s="69">
        <f>Table6[[#This Row],[Column8]]+Table6[[#This Row],[Column9]]</f>
        <v>0</v>
      </c>
    </row>
    <row r="50" spans="2:11">
      <c r="B50" s="72"/>
      <c r="C50" s="73"/>
      <c r="D50" s="73"/>
      <c r="E50" s="74"/>
      <c r="F50" s="74"/>
      <c r="G50" s="73"/>
      <c r="H50" s="105"/>
      <c r="I50" s="75"/>
      <c r="J50" s="68">
        <f>'Sales Amount'!$F50*'Sales Amount'!$H50</f>
        <v>0</v>
      </c>
      <c r="K50" s="69">
        <f>Table6[[#This Row],[Column8]]+Table6[[#This Row],[Column9]]</f>
        <v>0</v>
      </c>
    </row>
    <row r="51" spans="2:11">
      <c r="B51" s="72"/>
      <c r="C51" s="73"/>
      <c r="D51" s="73"/>
      <c r="E51" s="74"/>
      <c r="F51" s="74"/>
      <c r="G51" s="73"/>
      <c r="H51" s="105"/>
      <c r="I51" s="75"/>
      <c r="J51" s="68">
        <f>'Sales Amount'!$F51*'Sales Amount'!$H51</f>
        <v>0</v>
      </c>
      <c r="K51" s="69">
        <f>Table6[[#This Row],[Column8]]+Table6[[#This Row],[Column9]]</f>
        <v>0</v>
      </c>
    </row>
    <row r="52" spans="2:11">
      <c r="B52" s="72"/>
      <c r="C52" s="73"/>
      <c r="D52" s="73"/>
      <c r="E52" s="74"/>
      <c r="F52" s="74"/>
      <c r="G52" s="73"/>
      <c r="H52" s="105"/>
      <c r="I52" s="75"/>
      <c r="J52" s="68">
        <f>'Sales Amount'!$F52*'Sales Amount'!$H52</f>
        <v>0</v>
      </c>
      <c r="K52" s="69">
        <f>Table6[[#This Row],[Column8]]+Table6[[#This Row],[Column9]]</f>
        <v>0</v>
      </c>
    </row>
    <row r="53" spans="2:11">
      <c r="B53" s="72"/>
      <c r="C53" s="73"/>
      <c r="D53" s="73"/>
      <c r="E53" s="74"/>
      <c r="F53" s="74"/>
      <c r="G53" s="73"/>
      <c r="H53" s="105"/>
      <c r="I53" s="75"/>
      <c r="J53" s="68">
        <f>'Sales Amount'!$F53*'Sales Amount'!$H53</f>
        <v>0</v>
      </c>
      <c r="K53" s="69">
        <f>Table6[[#This Row],[Column8]]+Table6[[#This Row],[Column9]]</f>
        <v>0</v>
      </c>
    </row>
    <row r="54" spans="2:11">
      <c r="B54" s="72"/>
      <c r="C54" s="73"/>
      <c r="D54" s="73"/>
      <c r="E54" s="74"/>
      <c r="F54" s="74"/>
      <c r="G54" s="73"/>
      <c r="H54" s="105"/>
      <c r="I54" s="75"/>
      <c r="J54" s="68">
        <f>'Sales Amount'!$F54*'Sales Amount'!$H54</f>
        <v>0</v>
      </c>
      <c r="K54" s="69">
        <f>Table6[[#This Row],[Column8]]+Table6[[#This Row],[Column9]]</f>
        <v>0</v>
      </c>
    </row>
    <row r="55" spans="2:11">
      <c r="B55" s="72"/>
      <c r="C55" s="73"/>
      <c r="D55" s="73"/>
      <c r="E55" s="74"/>
      <c r="F55" s="74"/>
      <c r="G55" s="73"/>
      <c r="H55" s="105"/>
      <c r="I55" s="75"/>
      <c r="J55" s="68">
        <f>'Sales Amount'!$F55*'Sales Amount'!$H55</f>
        <v>0</v>
      </c>
      <c r="K55" s="69">
        <f>Table6[[#This Row],[Column8]]+Table6[[#This Row],[Column9]]</f>
        <v>0</v>
      </c>
    </row>
    <row r="56" spans="2:11">
      <c r="B56" s="72"/>
      <c r="C56" s="73"/>
      <c r="D56" s="73"/>
      <c r="E56" s="74"/>
      <c r="F56" s="74"/>
      <c r="G56" s="73"/>
      <c r="H56" s="105"/>
      <c r="I56" s="75"/>
      <c r="J56" s="68">
        <f>'Sales Amount'!$F56*'Sales Amount'!$H56</f>
        <v>0</v>
      </c>
      <c r="K56" s="69">
        <f>Table6[[#This Row],[Column8]]+Table6[[#This Row],[Column9]]</f>
        <v>0</v>
      </c>
    </row>
    <row r="57" spans="2:11">
      <c r="B57" s="72"/>
      <c r="C57" s="73"/>
      <c r="D57" s="73"/>
      <c r="E57" s="74"/>
      <c r="F57" s="74"/>
      <c r="G57" s="73"/>
      <c r="H57" s="105"/>
      <c r="I57" s="75"/>
      <c r="J57" s="68">
        <f>'Sales Amount'!$F57*'Sales Amount'!$H57</f>
        <v>0</v>
      </c>
      <c r="K57" s="69">
        <f>Table6[[#This Row],[Column8]]+Table6[[#This Row],[Column9]]</f>
        <v>0</v>
      </c>
    </row>
    <row r="58" spans="2:11">
      <c r="B58" s="72"/>
      <c r="C58" s="73"/>
      <c r="D58" s="73"/>
      <c r="E58" s="74"/>
      <c r="F58" s="74"/>
      <c r="G58" s="73"/>
      <c r="H58" s="105"/>
      <c r="I58" s="75"/>
      <c r="J58" s="68">
        <f>'Sales Amount'!$F58*'Sales Amount'!$H58</f>
        <v>0</v>
      </c>
      <c r="K58" s="69">
        <f>Table6[[#This Row],[Column8]]+Table6[[#This Row],[Column9]]</f>
        <v>0</v>
      </c>
    </row>
    <row r="59" spans="2:11">
      <c r="B59" s="72"/>
      <c r="C59" s="73"/>
      <c r="D59" s="73"/>
      <c r="E59" s="74"/>
      <c r="F59" s="74"/>
      <c r="G59" s="73"/>
      <c r="H59" s="105"/>
      <c r="I59" s="75"/>
      <c r="J59" s="68">
        <f>'Sales Amount'!$F59*'Sales Amount'!$H59</f>
        <v>0</v>
      </c>
      <c r="K59" s="69">
        <f>Table6[[#This Row],[Column8]]+Table6[[#This Row],[Column9]]</f>
        <v>0</v>
      </c>
    </row>
    <row r="60" spans="2:11">
      <c r="B60" s="72"/>
      <c r="C60" s="73"/>
      <c r="D60" s="73"/>
      <c r="E60" s="74"/>
      <c r="F60" s="74"/>
      <c r="G60" s="73"/>
      <c r="H60" s="105"/>
      <c r="I60" s="75"/>
      <c r="J60" s="68">
        <f>'Sales Amount'!$F60*'Sales Amount'!$H60</f>
        <v>0</v>
      </c>
      <c r="K60" s="69">
        <f>Table6[[#This Row],[Column8]]+Table6[[#This Row],[Column9]]</f>
        <v>0</v>
      </c>
    </row>
    <row r="61" spans="2:11">
      <c r="B61" s="72"/>
      <c r="C61" s="73"/>
      <c r="D61" s="73"/>
      <c r="E61" s="74"/>
      <c r="F61" s="74"/>
      <c r="G61" s="73"/>
      <c r="H61" s="105"/>
      <c r="I61" s="75"/>
      <c r="J61" s="68">
        <f>'Sales Amount'!$F61*'Sales Amount'!$H61</f>
        <v>0</v>
      </c>
      <c r="K61" s="69">
        <f>Table6[[#This Row],[Column8]]+Table6[[#This Row],[Column9]]</f>
        <v>0</v>
      </c>
    </row>
    <row r="62" spans="2:11">
      <c r="B62" s="72"/>
      <c r="C62" s="73"/>
      <c r="D62" s="73"/>
      <c r="E62" s="74"/>
      <c r="F62" s="74"/>
      <c r="G62" s="73"/>
      <c r="H62" s="105"/>
      <c r="I62" s="75"/>
      <c r="J62" s="68">
        <f>'Sales Amount'!$F62*'Sales Amount'!$H62</f>
        <v>0</v>
      </c>
      <c r="K62" s="69">
        <f>Table6[[#This Row],[Column8]]+Table6[[#This Row],[Column9]]</f>
        <v>0</v>
      </c>
    </row>
    <row r="63" spans="2:11" ht="15" thickBot="1">
      <c r="B63" s="54"/>
      <c r="C63" s="61"/>
      <c r="D63" s="61"/>
      <c r="E63" s="61"/>
      <c r="F63" s="61"/>
      <c r="G63" s="61"/>
      <c r="H63" s="65" t="s">
        <v>170</v>
      </c>
      <c r="I63" s="66">
        <f>SUM(Table6[[#All],[Column8]])</f>
        <v>0</v>
      </c>
      <c r="J63" s="66">
        <f>SUM(Table6[[#All],[Column9]])</f>
        <v>0</v>
      </c>
      <c r="K63" s="67">
        <f>SUM(Table6[[#All],[Column10]])</f>
        <v>0</v>
      </c>
    </row>
  </sheetData>
  <sheetProtection algorithmName="SHA-512" hashValue="GxEreH8vnTQUdoO3J3njQkgAPCb8pbZNlwBOIb1+SiNyGrEy30aO9SoDwKpp8xwHm7iMy3nkETJMgXwezo5XbQ==" saltValue="BMhILxRDgPhxK1t9AhBTRg==" spinCount="100000" sheet="1" insertRows="0" deleteRows="0" autoFilter="0"/>
  <mergeCells count="26">
    <mergeCell ref="B6:D6"/>
    <mergeCell ref="E25:E28"/>
    <mergeCell ref="D25:D28"/>
    <mergeCell ref="C25:C28"/>
    <mergeCell ref="B25:B28"/>
    <mergeCell ref="B24:K24"/>
    <mergeCell ref="H16:L16"/>
    <mergeCell ref="H17:L17"/>
    <mergeCell ref="H18:L18"/>
    <mergeCell ref="H19:L19"/>
    <mergeCell ref="B8:L8"/>
    <mergeCell ref="H9:L9"/>
    <mergeCell ref="I27:I28"/>
    <mergeCell ref="J26:J28"/>
    <mergeCell ref="F25:F28"/>
    <mergeCell ref="G25:G28"/>
    <mergeCell ref="I25:K25"/>
    <mergeCell ref="K26:K28"/>
    <mergeCell ref="H10:L10"/>
    <mergeCell ref="H11:L11"/>
    <mergeCell ref="H12:L12"/>
    <mergeCell ref="H13:L13"/>
    <mergeCell ref="H14:L14"/>
    <mergeCell ref="H15:L15"/>
    <mergeCell ref="H25:H26"/>
    <mergeCell ref="H27:H28"/>
  </mergeCells>
  <dataValidations count="3">
    <dataValidation type="list" allowBlank="1" showInputMessage="1" showErrorMessage="1" sqref="D10:D19 G29:G62" xr:uid="{DB980CC1-6C11-4F77-90E6-BB16A6FFB2FF}">
      <formula1>"USD,CAD,GBP,EUR,FRF"</formula1>
    </dataValidation>
    <dataValidation type="list" allowBlank="1" showInputMessage="1" showErrorMessage="1" sqref="C10:C19" xr:uid="{B754FD43-49F0-4F9E-A2C3-A8F8F8A9337D}">
      <formula1>"Broadcast Agreement,Production Agreement,Distributors Agreement - License Fee,Distributor Agreement - Advance,Co-production Net Profit,Others"</formula1>
    </dataValidation>
    <dataValidation type="list" allowBlank="1" showInputMessage="1" showErrorMessage="1" sqref="D29:D62" xr:uid="{FA5DD47A-A6C2-4922-BF11-6D611C5823C6}">
      <formula1>"Theatrical,Free TV,Pay TV,Cable TV,SVOD &amp; AVOD, Electronic Sell-Through,Home Video/Compact Devices,Educational TV,Retransmission Royalties,Ancilliary,Other Gross Revenues"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595A-273A-4317-BE02-04580CB16DA2}">
  <dimension ref="A1:AT23"/>
  <sheetViews>
    <sheetView topLeftCell="A3" workbookViewId="0">
      <selection activeCell="B23" sqref="B23"/>
    </sheetView>
  </sheetViews>
  <sheetFormatPr defaultColWidth="9.1796875" defaultRowHeight="12.5"/>
  <cols>
    <col min="1" max="1" width="29" style="1" bestFit="1" customWidth="1"/>
    <col min="2" max="2" width="66.453125" style="1" bestFit="1" customWidth="1"/>
    <col min="3" max="3" width="7.26953125" style="1" bestFit="1" customWidth="1"/>
    <col min="4" max="4" width="95.453125" style="1" bestFit="1" customWidth="1"/>
    <col min="5" max="6" width="9.1796875" style="1"/>
    <col min="7" max="7" width="14.453125" style="1" bestFit="1" customWidth="1"/>
    <col min="8" max="9" width="9.1796875" style="1"/>
    <col min="10" max="10" width="14" style="1" customWidth="1"/>
    <col min="11" max="20" width="9.1796875" style="1"/>
    <col min="21" max="21" width="14.453125" style="1" bestFit="1" customWidth="1"/>
    <col min="22" max="40" width="9.1796875" style="1"/>
    <col min="41" max="41" width="9.1796875" style="2"/>
    <col min="42" max="43" width="9.1796875" style="1"/>
    <col min="44" max="44" width="13.453125" style="1" bestFit="1" customWidth="1"/>
    <col min="45" max="16384" width="9.1796875" style="1"/>
  </cols>
  <sheetData>
    <row r="1" spans="1:46" ht="13">
      <c r="A1" s="76" t="s">
        <v>11</v>
      </c>
      <c r="B1" s="77" t="s">
        <v>12</v>
      </c>
      <c r="C1" s="78" t="s">
        <v>13</v>
      </c>
      <c r="D1" s="79" t="str">
        <f>_xlfn.TEXTJOIN("-",2,A2,TIPGreen)</f>
        <v>TIP 2002 - 2014-All Use</v>
      </c>
      <c r="E1" s="80">
        <v>3.5999999999999997E-2</v>
      </c>
    </row>
    <row r="2" spans="1:46" ht="14.5">
      <c r="A2" s="79" t="s">
        <v>186</v>
      </c>
      <c r="B2" s="79" t="s">
        <v>187</v>
      </c>
      <c r="C2" s="81">
        <v>3.5999999999999997E-2</v>
      </c>
      <c r="D2" s="83" t="str">
        <f>_xlfn.TEXTJOIN("-",2,A3,B3)</f>
        <v>TIP 2015 - 2017-Feature Films</v>
      </c>
      <c r="E2" s="85">
        <v>0.05</v>
      </c>
      <c r="U2" s="3" t="s">
        <v>14</v>
      </c>
      <c r="X2" s="1" t="e" cm="1">
        <f t="array" ref="X2">_xlfn.ANCHORARRAY(_xlfn.XLOOKUP(U2,Level1,Level2Res))</f>
        <v>#NAME?</v>
      </c>
      <c r="AI2" s="1" t="str" cm="1">
        <f t="array" ref="AI2:AI5">_xlfn.UNIQUE(DGRIPA[UseFee])</f>
        <v>All Use</v>
      </c>
      <c r="AO2" s="2" cm="1">
        <f t="array" ref="AO2:AP2">TRANSPOSE(_xlfn.UNIQUE(_xlfn._xlws.FILTER(DGRIPA[DGR],DGRIPA[UseFee]=AI2)))</f>
        <v>3.5999999999999997E-2</v>
      </c>
      <c r="AP2" s="1">
        <v>0.05</v>
      </c>
      <c r="AR2" s="3" t="s">
        <v>15</v>
      </c>
      <c r="AT2" s="1" t="e" cm="1">
        <f t="array" ref="AT2">_xlfn.ANCHORARRAY(_xlfn.XLOOKUP(AR2,Level2,Level3Res))</f>
        <v>#NAME?</v>
      </c>
    </row>
    <row r="3" spans="1:46" ht="14.5">
      <c r="A3" s="83" t="s">
        <v>188</v>
      </c>
      <c r="B3" s="84" t="s">
        <v>189</v>
      </c>
      <c r="C3" s="85">
        <v>0.05</v>
      </c>
      <c r="D3" s="83" t="s">
        <v>193</v>
      </c>
      <c r="E3" s="85">
        <v>3.5999999999999997E-2</v>
      </c>
      <c r="AI3" s="1" t="str">
        <v>Feature Films</v>
      </c>
    </row>
    <row r="4" spans="1:46" ht="14.5">
      <c r="A4" s="4" t="s">
        <v>191</v>
      </c>
      <c r="B4" s="84" t="s">
        <v>190</v>
      </c>
      <c r="C4" s="85">
        <v>3.5999999999999997E-2</v>
      </c>
      <c r="D4" s="4" t="str">
        <f>_xlfn.TEXTJOIN("-",2,DGRIPA[[#This Row],[IPATerm]],B5)</f>
        <v>TIP 2018 - 2020 - Class I-All Use</v>
      </c>
      <c r="E4" s="5">
        <v>0.05</v>
      </c>
      <c r="AI4" s="1" t="str">
        <v>Theatrical, Pay TV, Basic Cable, Free TV and Ancillary revenue</v>
      </c>
    </row>
    <row r="5" spans="1:46" ht="14.5">
      <c r="A5" s="4" t="s">
        <v>192</v>
      </c>
      <c r="B5" s="82" t="s">
        <v>187</v>
      </c>
      <c r="C5" s="5">
        <v>0.05</v>
      </c>
      <c r="D5" s="4" t="s">
        <v>201</v>
      </c>
      <c r="E5" s="5">
        <v>0.05</v>
      </c>
      <c r="AI5" s="1" t="str">
        <v>Theatrical, Pay TV, Basic Cable, Free TV, Ditigal Media and Ancillary revenue</v>
      </c>
    </row>
    <row r="6" spans="1:46" ht="14.5">
      <c r="B6" s="82" t="s">
        <v>197</v>
      </c>
      <c r="C6" s="5">
        <v>0.05</v>
      </c>
      <c r="D6" s="4" t="s">
        <v>194</v>
      </c>
      <c r="E6" s="5">
        <v>3.5999999999999997E-2</v>
      </c>
    </row>
    <row r="7" spans="1:46" ht="14.5">
      <c r="B7" s="82" t="s">
        <v>189</v>
      </c>
      <c r="C7" s="5">
        <v>3.5999999999999997E-2</v>
      </c>
      <c r="D7" s="4" t="s">
        <v>195</v>
      </c>
      <c r="E7" s="5">
        <v>0.05</v>
      </c>
    </row>
    <row r="8" spans="1:46" ht="14.5">
      <c r="D8" s="4" t="s">
        <v>202</v>
      </c>
      <c r="E8" s="5">
        <v>0.05</v>
      </c>
    </row>
    <row r="9" spans="1:46" ht="14.5">
      <c r="D9" s="4" t="s">
        <v>196</v>
      </c>
      <c r="E9" s="5">
        <v>3.5999999999999997E-2</v>
      </c>
    </row>
    <row r="17" spans="1:2" ht="14.5">
      <c r="A17" s="86" t="s">
        <v>186</v>
      </c>
      <c r="B17" s="86" t="s">
        <v>198</v>
      </c>
    </row>
    <row r="18" spans="1:2" ht="14.5">
      <c r="A18" s="86" t="s">
        <v>188</v>
      </c>
      <c r="B18" s="86" t="s">
        <v>199</v>
      </c>
    </row>
    <row r="19" spans="1:2" ht="14.5">
      <c r="A19" s="86" t="s">
        <v>191</v>
      </c>
      <c r="B19" s="86" t="s">
        <v>200</v>
      </c>
    </row>
    <row r="20" spans="1:2" ht="14.5">
      <c r="A20" s="86" t="s">
        <v>192</v>
      </c>
      <c r="B20" s="86" t="s">
        <v>200</v>
      </c>
    </row>
    <row r="23" spans="1:2">
      <c r="A23" s="87" t="e">
        <f>VLOOKUP('REPORTING FORM'!#REF!, HelperTable, 2, FALSE)</f>
        <v>#REF!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dimension ref="A1:G72"/>
  <sheetViews>
    <sheetView workbookViewId="0">
      <selection activeCell="F1" sqref="F1"/>
    </sheetView>
  </sheetViews>
  <sheetFormatPr defaultRowHeight="14.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>
      <c r="A1" s="12" t="s">
        <v>11</v>
      </c>
      <c r="B1" s="12" t="s">
        <v>12</v>
      </c>
      <c r="C1" s="12" t="s">
        <v>13</v>
      </c>
      <c r="D1" t="s">
        <v>35</v>
      </c>
      <c r="E1" s="9">
        <v>0.06</v>
      </c>
      <c r="F1" s="13" t="e">
        <f>IF(OR('REPORTING FORM'!#REF!="1995-1998",'REPORTING FORM'!#REF!="1999-2001",'REPORTING FORM'!#REF!="2002-2003",'REPORTING FORM'!#REF!="2004-2006"),"Green",IF(OR('REPORTING FORM'!#REF!="2007-2009",'REPORTING FORM'!#REF!="2010-2012",'REPORTING FORM'!#REF!="2013-2015"),"Pink",IF(OR('REPORTING FORM'!#REF!="2016-2018",'REPORTING FORM'!#REF!="2019-2021",'REPORTING FORM'!#REF!="2022-2024"),"Blue","Default")))</f>
        <v>#REF!</v>
      </c>
      <c r="G1" s="14" t="s">
        <v>147</v>
      </c>
    </row>
    <row r="2" spans="1:7">
      <c r="A2" s="6" t="s">
        <v>25</v>
      </c>
      <c r="B2" s="6" t="s">
        <v>15</v>
      </c>
      <c r="C2" s="9">
        <v>0.06</v>
      </c>
      <c r="D2" t="s">
        <v>36</v>
      </c>
      <c r="E2" s="9">
        <v>7.0000000000000007E-2</v>
      </c>
    </row>
    <row r="3" spans="1:7">
      <c r="A3" s="6" t="s">
        <v>26</v>
      </c>
      <c r="B3" s="6" t="s">
        <v>16</v>
      </c>
      <c r="C3" s="9">
        <v>7.0000000000000007E-2</v>
      </c>
      <c r="D3" t="s">
        <v>37</v>
      </c>
      <c r="E3" s="9">
        <v>0.08</v>
      </c>
    </row>
    <row r="4" spans="1:7">
      <c r="A4" s="6" t="s">
        <v>27</v>
      </c>
      <c r="B4" s="6" t="s">
        <v>17</v>
      </c>
      <c r="C4" s="9">
        <v>0.08</v>
      </c>
      <c r="D4" t="s">
        <v>38</v>
      </c>
      <c r="E4" s="9">
        <v>0.09</v>
      </c>
    </row>
    <row r="5" spans="1:7">
      <c r="A5" s="6" t="s">
        <v>28</v>
      </c>
      <c r="B5" s="6" t="s">
        <v>18</v>
      </c>
      <c r="C5" s="9">
        <v>0.09</v>
      </c>
      <c r="D5" t="s">
        <v>39</v>
      </c>
      <c r="E5" s="9">
        <v>0.11</v>
      </c>
    </row>
    <row r="6" spans="1:7">
      <c r="A6" s="7" t="s">
        <v>29</v>
      </c>
      <c r="B6" s="6" t="s">
        <v>19</v>
      </c>
      <c r="C6" s="9">
        <v>0.11</v>
      </c>
      <c r="D6" t="s">
        <v>40</v>
      </c>
      <c r="E6" s="9">
        <v>0.13</v>
      </c>
    </row>
    <row r="7" spans="1:7">
      <c r="A7" s="7" t="s">
        <v>30</v>
      </c>
      <c r="B7" s="6" t="s">
        <v>20</v>
      </c>
      <c r="C7" s="9">
        <v>0.13</v>
      </c>
      <c r="D7" t="s">
        <v>41</v>
      </c>
      <c r="E7" s="9">
        <v>0.06</v>
      </c>
    </row>
    <row r="8" spans="1:7">
      <c r="A8" s="7" t="s">
        <v>31</v>
      </c>
      <c r="B8" s="7" t="s">
        <v>15</v>
      </c>
      <c r="C8" s="10">
        <v>0.05</v>
      </c>
      <c r="D8" t="s">
        <v>42</v>
      </c>
      <c r="E8" s="9">
        <v>7.0000000000000007E-2</v>
      </c>
    </row>
    <row r="9" spans="1:7">
      <c r="A9" s="8" t="s">
        <v>32</v>
      </c>
      <c r="B9" s="7" t="s">
        <v>16</v>
      </c>
      <c r="C9" s="10">
        <v>0.06</v>
      </c>
      <c r="D9" t="s">
        <v>43</v>
      </c>
      <c r="E9" s="9">
        <v>0.08</v>
      </c>
    </row>
    <row r="10" spans="1:7">
      <c r="A10" s="8" t="s">
        <v>33</v>
      </c>
      <c r="B10" s="7" t="s">
        <v>17</v>
      </c>
      <c r="C10" s="10">
        <v>7.0000000000000007E-2</v>
      </c>
      <c r="D10" t="s">
        <v>44</v>
      </c>
      <c r="E10" s="9">
        <v>0.09</v>
      </c>
    </row>
    <row r="11" spans="1:7">
      <c r="A11" s="8" t="s">
        <v>34</v>
      </c>
      <c r="B11" s="7" t="s">
        <v>18</v>
      </c>
      <c r="C11" s="10">
        <v>0.08</v>
      </c>
      <c r="D11" t="s">
        <v>45</v>
      </c>
      <c r="E11" s="9">
        <v>0.11</v>
      </c>
    </row>
    <row r="12" spans="1:7">
      <c r="B12" s="7" t="s">
        <v>19</v>
      </c>
      <c r="C12" s="10">
        <v>0.09</v>
      </c>
      <c r="D12" t="s">
        <v>46</v>
      </c>
      <c r="E12" s="9">
        <v>0.13</v>
      </c>
    </row>
    <row r="13" spans="1:7">
      <c r="B13" s="7" t="s">
        <v>20</v>
      </c>
      <c r="C13" s="10">
        <v>0.11</v>
      </c>
      <c r="D13" t="s">
        <v>47</v>
      </c>
      <c r="E13" s="9">
        <v>0.06</v>
      </c>
    </row>
    <row r="14" spans="1:7">
      <c r="B14" s="8" t="s">
        <v>21</v>
      </c>
      <c r="C14" s="11">
        <v>0.05</v>
      </c>
      <c r="D14" t="s">
        <v>48</v>
      </c>
      <c r="E14" s="9">
        <v>7.0000000000000007E-2</v>
      </c>
    </row>
    <row r="15" spans="1:7">
      <c r="B15" s="8" t="s">
        <v>22</v>
      </c>
      <c r="C15" s="11">
        <v>0.05</v>
      </c>
      <c r="D15" t="s">
        <v>49</v>
      </c>
      <c r="E15" s="9">
        <v>0.08</v>
      </c>
    </row>
    <row r="16" spans="1:7">
      <c r="B16" s="8" t="s">
        <v>23</v>
      </c>
      <c r="C16" s="11">
        <v>0.05</v>
      </c>
      <c r="D16" t="s">
        <v>50</v>
      </c>
      <c r="E16" s="9">
        <v>0.09</v>
      </c>
    </row>
    <row r="17" spans="2:5">
      <c r="B17" s="8" t="s">
        <v>24</v>
      </c>
      <c r="C17" s="11">
        <v>0.05</v>
      </c>
      <c r="D17" t="s">
        <v>51</v>
      </c>
      <c r="E17" s="9">
        <v>0.11</v>
      </c>
    </row>
    <row r="18" spans="2:5">
      <c r="B18" s="8" t="s">
        <v>15</v>
      </c>
      <c r="C18" s="11">
        <v>0.05</v>
      </c>
      <c r="D18" t="s">
        <v>52</v>
      </c>
      <c r="E18" s="9">
        <v>0.13</v>
      </c>
    </row>
    <row r="19" spans="2:5">
      <c r="B19" s="8" t="s">
        <v>16</v>
      </c>
      <c r="C19" s="11">
        <v>0.06</v>
      </c>
      <c r="D19" t="s">
        <v>53</v>
      </c>
      <c r="E19" s="9">
        <v>0.06</v>
      </c>
    </row>
    <row r="20" spans="2:5">
      <c r="B20" s="8" t="s">
        <v>17</v>
      </c>
      <c r="C20" s="11">
        <v>7.0000000000000007E-2</v>
      </c>
      <c r="D20" t="s">
        <v>54</v>
      </c>
      <c r="E20" s="9">
        <v>7.0000000000000007E-2</v>
      </c>
    </row>
    <row r="21" spans="2:5">
      <c r="B21" s="8" t="s">
        <v>18</v>
      </c>
      <c r="C21" s="11">
        <v>0.08</v>
      </c>
      <c r="D21" t="s">
        <v>55</v>
      </c>
      <c r="E21" s="9">
        <v>0.08</v>
      </c>
    </row>
    <row r="22" spans="2:5">
      <c r="B22" s="8" t="s">
        <v>19</v>
      </c>
      <c r="C22" s="11">
        <v>0.09</v>
      </c>
      <c r="D22" t="s">
        <v>56</v>
      </c>
      <c r="E22" s="9">
        <v>0.09</v>
      </c>
    </row>
    <row r="23" spans="2:5">
      <c r="B23" s="8" t="s">
        <v>20</v>
      </c>
      <c r="C23" s="11">
        <v>0.11</v>
      </c>
      <c r="D23" t="s">
        <v>57</v>
      </c>
      <c r="E23" s="9">
        <v>0.11</v>
      </c>
    </row>
    <row r="24" spans="2:5">
      <c r="D24" t="s">
        <v>58</v>
      </c>
      <c r="E24" s="9">
        <v>0.13</v>
      </c>
    </row>
    <row r="25" spans="2:5">
      <c r="D25" t="s">
        <v>59</v>
      </c>
      <c r="E25" s="10">
        <v>0.05</v>
      </c>
    </row>
    <row r="26" spans="2:5">
      <c r="D26" t="s">
        <v>60</v>
      </c>
      <c r="E26" s="10">
        <v>0.06</v>
      </c>
    </row>
    <row r="27" spans="2:5">
      <c r="D27" t="s">
        <v>61</v>
      </c>
      <c r="E27" s="10">
        <v>7.0000000000000007E-2</v>
      </c>
    </row>
    <row r="28" spans="2:5">
      <c r="D28" t="s">
        <v>62</v>
      </c>
      <c r="E28" s="10">
        <v>0.08</v>
      </c>
    </row>
    <row r="29" spans="2:5">
      <c r="D29" t="s">
        <v>63</v>
      </c>
      <c r="E29" s="10">
        <v>0.09</v>
      </c>
    </row>
    <row r="30" spans="2:5">
      <c r="D30" t="s">
        <v>64</v>
      </c>
      <c r="E30" s="10">
        <v>0.11</v>
      </c>
    </row>
    <row r="31" spans="2:5">
      <c r="D31" t="s">
        <v>65</v>
      </c>
      <c r="E31" s="10">
        <v>0.05</v>
      </c>
    </row>
    <row r="32" spans="2:5">
      <c r="D32" t="s">
        <v>66</v>
      </c>
      <c r="E32" s="10">
        <v>0.06</v>
      </c>
    </row>
    <row r="33" spans="4:5">
      <c r="D33" t="s">
        <v>67</v>
      </c>
      <c r="E33" s="10">
        <v>7.0000000000000007E-2</v>
      </c>
    </row>
    <row r="34" spans="4:5">
      <c r="D34" t="s">
        <v>68</v>
      </c>
      <c r="E34" s="10">
        <v>0.08</v>
      </c>
    </row>
    <row r="35" spans="4:5">
      <c r="D35" t="s">
        <v>69</v>
      </c>
      <c r="E35" s="10">
        <v>0.09</v>
      </c>
    </row>
    <row r="36" spans="4:5">
      <c r="D36" t="s">
        <v>70</v>
      </c>
      <c r="E36" s="10">
        <v>0.11</v>
      </c>
    </row>
    <row r="37" spans="4:5">
      <c r="D37" t="s">
        <v>71</v>
      </c>
      <c r="E37" s="10">
        <v>0.05</v>
      </c>
    </row>
    <row r="38" spans="4:5">
      <c r="D38" t="s">
        <v>72</v>
      </c>
      <c r="E38" s="10">
        <v>0.06</v>
      </c>
    </row>
    <row r="39" spans="4:5">
      <c r="D39" t="s">
        <v>73</v>
      </c>
      <c r="E39" s="10">
        <v>7.0000000000000007E-2</v>
      </c>
    </row>
    <row r="40" spans="4:5">
      <c r="D40" t="s">
        <v>74</v>
      </c>
      <c r="E40" s="10">
        <v>0.08</v>
      </c>
    </row>
    <row r="41" spans="4:5">
      <c r="D41" t="s">
        <v>75</v>
      </c>
      <c r="E41" s="10">
        <v>0.09</v>
      </c>
    </row>
    <row r="42" spans="4:5">
      <c r="D42" t="s">
        <v>76</v>
      </c>
      <c r="E42" s="10">
        <v>0.11</v>
      </c>
    </row>
    <row r="43" spans="4:5">
      <c r="D43" t="s">
        <v>77</v>
      </c>
      <c r="E43" s="11">
        <v>0.05</v>
      </c>
    </row>
    <row r="44" spans="4:5">
      <c r="D44" t="s">
        <v>78</v>
      </c>
      <c r="E44" s="11">
        <v>0.05</v>
      </c>
    </row>
    <row r="45" spans="4:5">
      <c r="D45" t="s">
        <v>79</v>
      </c>
      <c r="E45" s="11">
        <v>0.05</v>
      </c>
    </row>
    <row r="46" spans="4:5">
      <c r="D46" t="s">
        <v>80</v>
      </c>
      <c r="E46" s="11">
        <v>0.05</v>
      </c>
    </row>
    <row r="47" spans="4:5">
      <c r="D47" t="s">
        <v>81</v>
      </c>
      <c r="E47" s="11">
        <v>0.05</v>
      </c>
    </row>
    <row r="48" spans="4:5">
      <c r="D48" t="s">
        <v>82</v>
      </c>
      <c r="E48" s="11">
        <v>0.06</v>
      </c>
    </row>
    <row r="49" spans="4:5">
      <c r="D49" t="s">
        <v>83</v>
      </c>
      <c r="E49" s="11">
        <v>7.0000000000000007E-2</v>
      </c>
    </row>
    <row r="50" spans="4:5">
      <c r="D50" t="s">
        <v>84</v>
      </c>
      <c r="E50" s="11">
        <v>0.08</v>
      </c>
    </row>
    <row r="51" spans="4:5">
      <c r="D51" t="s">
        <v>85</v>
      </c>
      <c r="E51" s="11">
        <v>0.09</v>
      </c>
    </row>
    <row r="52" spans="4:5">
      <c r="D52" t="s">
        <v>86</v>
      </c>
      <c r="E52" s="11">
        <v>0.11</v>
      </c>
    </row>
    <row r="53" spans="4:5">
      <c r="D53" t="s">
        <v>87</v>
      </c>
      <c r="E53" s="11">
        <v>0.05</v>
      </c>
    </row>
    <row r="54" spans="4:5">
      <c r="D54" t="s">
        <v>88</v>
      </c>
      <c r="E54" s="11">
        <v>0.05</v>
      </c>
    </row>
    <row r="55" spans="4:5">
      <c r="D55" t="s">
        <v>89</v>
      </c>
      <c r="E55" s="11">
        <v>0.05</v>
      </c>
    </row>
    <row r="56" spans="4:5">
      <c r="D56" t="s">
        <v>90</v>
      </c>
      <c r="E56" s="11">
        <v>0.05</v>
      </c>
    </row>
    <row r="57" spans="4:5">
      <c r="D57" t="s">
        <v>91</v>
      </c>
      <c r="E57" s="11">
        <v>0.05</v>
      </c>
    </row>
    <row r="58" spans="4:5">
      <c r="D58" t="s">
        <v>92</v>
      </c>
      <c r="E58" s="11">
        <v>0.06</v>
      </c>
    </row>
    <row r="59" spans="4:5">
      <c r="D59" t="s">
        <v>93</v>
      </c>
      <c r="E59" s="11">
        <v>7.0000000000000007E-2</v>
      </c>
    </row>
    <row r="60" spans="4:5">
      <c r="D60" t="s">
        <v>94</v>
      </c>
      <c r="E60" s="11">
        <v>0.08</v>
      </c>
    </row>
    <row r="61" spans="4:5">
      <c r="D61" t="s">
        <v>95</v>
      </c>
      <c r="E61" s="11">
        <v>0.09</v>
      </c>
    </row>
    <row r="62" spans="4:5">
      <c r="D62" t="s">
        <v>96</v>
      </c>
      <c r="E62" s="11">
        <v>0.11</v>
      </c>
    </row>
    <row r="63" spans="4:5">
      <c r="D63" t="s">
        <v>97</v>
      </c>
      <c r="E63" s="11">
        <v>0.05</v>
      </c>
    </row>
    <row r="64" spans="4:5">
      <c r="D64" t="s">
        <v>98</v>
      </c>
      <c r="E64" s="11">
        <v>0.05</v>
      </c>
    </row>
    <row r="65" spans="4:5">
      <c r="D65" t="s">
        <v>99</v>
      </c>
      <c r="E65" s="11">
        <v>0.05</v>
      </c>
    </row>
    <row r="66" spans="4:5">
      <c r="D66" t="s">
        <v>100</v>
      </c>
      <c r="E66" s="11">
        <v>0.05</v>
      </c>
    </row>
    <row r="67" spans="4:5">
      <c r="D67" t="s">
        <v>101</v>
      </c>
      <c r="E67" s="11">
        <v>0.05</v>
      </c>
    </row>
    <row r="68" spans="4:5">
      <c r="D68" t="s">
        <v>102</v>
      </c>
      <c r="E68" s="11">
        <v>0.06</v>
      </c>
    </row>
    <row r="69" spans="4:5">
      <c r="D69" t="s">
        <v>103</v>
      </c>
      <c r="E69" s="11">
        <v>7.0000000000000007E-2</v>
      </c>
    </row>
    <row r="70" spans="4:5">
      <c r="D70" t="s">
        <v>104</v>
      </c>
      <c r="E70" s="11">
        <v>0.08</v>
      </c>
    </row>
    <row r="71" spans="4:5">
      <c r="D71" t="s">
        <v>105</v>
      </c>
      <c r="E71" s="11">
        <v>0.09</v>
      </c>
    </row>
    <row r="72" spans="4:5">
      <c r="D72" t="s">
        <v>106</v>
      </c>
      <c r="E72" s="11">
        <v>0.11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dimension ref="A1:G39"/>
  <sheetViews>
    <sheetView workbookViewId="0">
      <selection activeCell="E3" sqref="E3"/>
    </sheetView>
  </sheetViews>
  <sheetFormatPr defaultColWidth="9.1796875" defaultRowHeight="12.5"/>
  <cols>
    <col min="1" max="1" width="28.7265625" style="1" bestFit="1" customWidth="1"/>
    <col min="2" max="2" width="44.7265625" style="1" customWidth="1"/>
    <col min="3" max="10" width="28.7265625" style="1" bestFit="1" customWidth="1"/>
    <col min="11" max="13" width="42.81640625" style="1" bestFit="1" customWidth="1"/>
    <col min="14" max="16384" width="9.1796875" style="1"/>
  </cols>
  <sheetData>
    <row r="1" spans="1:7">
      <c r="B1" s="1" t="s">
        <v>113</v>
      </c>
      <c r="C1" s="1" t="s">
        <v>114</v>
      </c>
      <c r="D1" s="1" t="s">
        <v>115</v>
      </c>
    </row>
    <row r="2" spans="1:7">
      <c r="D2" s="1" t="s">
        <v>116</v>
      </c>
    </row>
    <row r="3" spans="1:7">
      <c r="A3" s="1" t="s">
        <v>109</v>
      </c>
      <c r="B3" s="2">
        <v>0.05</v>
      </c>
      <c r="C3" s="2">
        <v>0.05</v>
      </c>
      <c r="D3" s="1" t="s">
        <v>117</v>
      </c>
      <c r="E3" s="2" t="s">
        <v>118</v>
      </c>
      <c r="F3" s="2">
        <v>0.05</v>
      </c>
      <c r="G3" s="1" t="str">
        <f>"calculated at"&amp;" "&amp;"5%"</f>
        <v>calculated at 5%</v>
      </c>
    </row>
    <row r="4" spans="1:7">
      <c r="A4" s="1" t="s">
        <v>119</v>
      </c>
      <c r="B4" s="2">
        <v>0.05</v>
      </c>
      <c r="C4" s="2">
        <v>0.05</v>
      </c>
      <c r="D4" s="1" t="s">
        <v>117</v>
      </c>
      <c r="E4" s="2" t="s">
        <v>118</v>
      </c>
      <c r="F4" s="2">
        <v>0.05</v>
      </c>
      <c r="G4" s="1" t="str">
        <f>"calculated at"&amp;" "&amp;"5%"</f>
        <v>calculated at 5%</v>
      </c>
    </row>
    <row r="5" spans="1:7">
      <c r="A5" s="1" t="s">
        <v>111</v>
      </c>
      <c r="B5" s="2">
        <v>0.05</v>
      </c>
      <c r="C5" s="2">
        <v>0.05</v>
      </c>
      <c r="D5" s="1" t="s">
        <v>117</v>
      </c>
      <c r="E5" s="2" t="s">
        <v>118</v>
      </c>
      <c r="F5" s="2">
        <v>0.05</v>
      </c>
      <c r="G5" s="1" t="str">
        <f>"calculated at"&amp;" "&amp;"5%"</f>
        <v>calculated at 5%</v>
      </c>
    </row>
    <row r="6" spans="1:7">
      <c r="A6" s="1" t="s">
        <v>110</v>
      </c>
      <c r="B6" s="2">
        <v>0.05</v>
      </c>
      <c r="C6" s="2">
        <v>0.05</v>
      </c>
      <c r="D6" s="1" t="s">
        <v>117</v>
      </c>
      <c r="E6" s="2" t="s">
        <v>118</v>
      </c>
      <c r="F6" s="2">
        <v>0.05</v>
      </c>
      <c r="G6" s="1" t="str">
        <f>"calculated at"&amp;" "&amp;"5%"</f>
        <v>calculated at 5%</v>
      </c>
    </row>
    <row r="7" spans="1:7">
      <c r="A7" s="1" t="s">
        <v>120</v>
      </c>
      <c r="B7" s="2">
        <v>0.11</v>
      </c>
      <c r="C7" s="2">
        <v>0.05</v>
      </c>
      <c r="D7" s="2">
        <v>0.06</v>
      </c>
      <c r="E7" s="2" t="s">
        <v>208</v>
      </c>
      <c r="F7" s="2">
        <v>0.11</v>
      </c>
      <c r="G7" s="1" t="str">
        <f>"calculated at"&amp;" "&amp;"11%"</f>
        <v>calculated at 11%</v>
      </c>
    </row>
    <row r="8" spans="1:7">
      <c r="A8" s="1" t="s">
        <v>121</v>
      </c>
      <c r="B8" s="2">
        <v>0.12</v>
      </c>
      <c r="C8" s="2">
        <v>0.05</v>
      </c>
      <c r="D8" s="2">
        <v>7.0000000000000007E-2</v>
      </c>
      <c r="E8" s="2" t="s">
        <v>209</v>
      </c>
      <c r="F8" s="2">
        <v>0.12</v>
      </c>
      <c r="G8" s="1" t="str">
        <f>"calculated at"&amp;" "&amp;"12%"</f>
        <v>calculated at 12%</v>
      </c>
    </row>
    <row r="9" spans="1:7">
      <c r="A9" s="1" t="s">
        <v>122</v>
      </c>
      <c r="B9" s="2">
        <v>0.12</v>
      </c>
      <c r="C9" s="2">
        <v>0.05</v>
      </c>
      <c r="D9" s="2">
        <v>7.0000000000000007E-2</v>
      </c>
      <c r="E9" s="2" t="s">
        <v>123</v>
      </c>
      <c r="F9" s="2">
        <v>0.05</v>
      </c>
      <c r="G9" s="1" t="str">
        <f>"calculated at"&amp;" "&amp;"5%"</f>
        <v>calculated at 5%</v>
      </c>
    </row>
    <row r="10" spans="1:7">
      <c r="A10" s="1" t="s">
        <v>124</v>
      </c>
      <c r="B10" s="2">
        <v>0.13</v>
      </c>
      <c r="C10" s="2">
        <v>0.13</v>
      </c>
      <c r="D10" s="1" t="s">
        <v>125</v>
      </c>
      <c r="E10" s="2" t="s">
        <v>126</v>
      </c>
      <c r="F10" s="2">
        <v>0.13</v>
      </c>
      <c r="G10" s="1" t="str">
        <f>"calculated at"&amp;" "&amp;"13%"</f>
        <v>calculated at 13%</v>
      </c>
    </row>
    <row r="11" spans="1:7">
      <c r="A11" s="1" t="s">
        <v>127</v>
      </c>
      <c r="B11" s="15">
        <v>0.14974999999999999</v>
      </c>
      <c r="C11" s="2">
        <v>0.05</v>
      </c>
      <c r="D11" s="15">
        <v>9.9750000000000005E-2</v>
      </c>
      <c r="E11" s="2" t="s">
        <v>210</v>
      </c>
      <c r="F11" s="15">
        <v>0.14974999999999999</v>
      </c>
      <c r="G11" s="1" t="str">
        <f>"calculated at"&amp;" "&amp;"14.975%"</f>
        <v>calculated at 14.975%</v>
      </c>
    </row>
    <row r="12" spans="1:7">
      <c r="A12" s="1" t="s">
        <v>128</v>
      </c>
      <c r="B12" s="2">
        <v>0.15</v>
      </c>
      <c r="C12" s="2">
        <v>0.15</v>
      </c>
      <c r="D12" s="1" t="s">
        <v>125</v>
      </c>
      <c r="E12" s="2" t="s">
        <v>129</v>
      </c>
      <c r="F12" s="2">
        <v>0.15</v>
      </c>
      <c r="G12" s="1" t="str">
        <f>"calculated at"&amp;" "&amp;"15%"</f>
        <v>calculated at 15%</v>
      </c>
    </row>
    <row r="13" spans="1:7">
      <c r="A13" s="1" t="s">
        <v>130</v>
      </c>
      <c r="B13" s="2">
        <v>0.15</v>
      </c>
      <c r="C13" s="2">
        <v>0.15</v>
      </c>
      <c r="D13" s="1" t="s">
        <v>125</v>
      </c>
      <c r="E13" s="2" t="s">
        <v>129</v>
      </c>
      <c r="F13" s="2">
        <v>0.15</v>
      </c>
      <c r="G13" s="1" t="str">
        <f>"calculated at"&amp;" "&amp;"15%"</f>
        <v>calculated at 15%</v>
      </c>
    </row>
    <row r="14" spans="1:7">
      <c r="A14" s="1" t="s">
        <v>131</v>
      </c>
      <c r="B14" s="2">
        <v>0.15</v>
      </c>
      <c r="C14" s="2">
        <v>0.15</v>
      </c>
      <c r="D14" s="1" t="s">
        <v>125</v>
      </c>
      <c r="E14" s="2" t="s">
        <v>129</v>
      </c>
      <c r="F14" s="2">
        <v>0.15</v>
      </c>
      <c r="G14" s="1" t="str">
        <f>"calculated at"&amp;" "&amp;"15%"</f>
        <v>calculated at 15%</v>
      </c>
    </row>
    <row r="15" spans="1:7">
      <c r="A15" s="1" t="s">
        <v>132</v>
      </c>
      <c r="B15" s="2">
        <v>0.15</v>
      </c>
      <c r="C15" s="2">
        <v>0.15</v>
      </c>
      <c r="D15" s="1" t="s">
        <v>125</v>
      </c>
      <c r="E15" s="2" t="s">
        <v>129</v>
      </c>
      <c r="F15" s="2">
        <v>0.15</v>
      </c>
      <c r="G15" s="1" t="str">
        <f>"calculated at"&amp;" "&amp;"15%"</f>
        <v>calculated at 15%</v>
      </c>
    </row>
    <row r="16" spans="1:7">
      <c r="A16" s="1" t="s">
        <v>133</v>
      </c>
      <c r="E16" s="2" t="s">
        <v>134</v>
      </c>
      <c r="F16" s="2">
        <v>0</v>
      </c>
      <c r="G16" s="1" t="str">
        <f>"calculated at"&amp;" "&amp;"0%"</f>
        <v>calculated at 0%</v>
      </c>
    </row>
    <row r="22" spans="1:6" ht="13">
      <c r="A22" s="16">
        <v>0.05</v>
      </c>
      <c r="B22" s="1" t="e">
        <v>#N/A</v>
      </c>
      <c r="C22" s="1" t="e">
        <v>#N/A</v>
      </c>
    </row>
    <row r="23" spans="1:6">
      <c r="F23" s="17" t="e">
        <f>_xlfn.XLOOKUP('REPORTING FORM'!H6,'Delcared Use_HST'!A3:A16,'Delcared Use_HST'!B3:B16)</f>
        <v>#N/A</v>
      </c>
    </row>
    <row r="28" spans="1:6">
      <c r="A28" s="1">
        <v>0.05</v>
      </c>
      <c r="B28" s="1" t="e">
        <v>#N/A</v>
      </c>
      <c r="C28" s="1" t="e">
        <v>#N/A</v>
      </c>
    </row>
    <row r="32" spans="1:6">
      <c r="A32" s="1" t="s">
        <v>108</v>
      </c>
      <c r="B32" s="1" t="s">
        <v>135</v>
      </c>
    </row>
    <row r="33" spans="1:2">
      <c r="A33" s="1" t="s">
        <v>136</v>
      </c>
      <c r="B33" s="1" t="s">
        <v>137</v>
      </c>
    </row>
    <row r="34" spans="1:2">
      <c r="A34" s="1" t="s">
        <v>112</v>
      </c>
      <c r="B34" s="1" t="s">
        <v>138</v>
      </c>
    </row>
    <row r="35" spans="1:2">
      <c r="A35" s="1" t="s">
        <v>139</v>
      </c>
      <c r="B35" s="1" t="s">
        <v>140</v>
      </c>
    </row>
    <row r="36" spans="1:2">
      <c r="A36" s="1" t="s">
        <v>141</v>
      </c>
      <c r="B36" s="1" t="s">
        <v>142</v>
      </c>
    </row>
    <row r="37" spans="1:2">
      <c r="A37" s="1" t="s">
        <v>143</v>
      </c>
      <c r="B37" s="1" t="s">
        <v>140</v>
      </c>
    </row>
    <row r="38" spans="1:2">
      <c r="A38" s="1" t="s">
        <v>144</v>
      </c>
      <c r="B38" s="1" t="s">
        <v>145</v>
      </c>
    </row>
    <row r="39" spans="1:2">
      <c r="A39" s="1" t="s">
        <v>146</v>
      </c>
      <c r="B39" s="1" t="s">
        <v>125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REPORTING FORM</vt:lpstr>
      <vt:lpstr>Sales Amount</vt:lpstr>
      <vt:lpstr>DGR</vt:lpstr>
      <vt:lpstr>Reference</vt:lpstr>
      <vt:lpstr>Delcared Use_HST</vt:lpstr>
      <vt:lpstr>HelperTable</vt:lpstr>
      <vt:lpstr>TIPBlue</vt:lpstr>
      <vt:lpstr>TIPGreen</vt:lpstr>
      <vt:lpstr>TIPOrange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Grande</dc:creator>
  <cp:lastModifiedBy>Jonathan Balanay</cp:lastModifiedBy>
  <cp:lastPrinted>2024-09-12T19:34:07Z</cp:lastPrinted>
  <dcterms:created xsi:type="dcterms:W3CDTF">2024-08-15T18:33:26Z</dcterms:created>
  <dcterms:modified xsi:type="dcterms:W3CDTF">2026-09-14T19:25:04Z</dcterms:modified>
</cp:coreProperties>
</file>